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945" windowWidth="15240" windowHeight="5970"/>
  </bookViews>
  <sheets>
    <sheet name="Notice" sheetId="20" r:id="rId1"/>
    <sheet name="Tableau de bord" sheetId="13" r:id="rId2"/>
    <sheet name="Calcul hypotèses déploiement" sheetId="21" r:id="rId3"/>
    <sheet name="Représentations graphiques" sheetId="22" r:id="rId4"/>
    <sheet name="Calcul du coefficient ex-post" sheetId="18" r:id="rId5"/>
    <sheet name="Revenus non récurrents" sheetId="3" r:id="rId6"/>
    <sheet name="Revenus récurrents" sheetId="5" r:id="rId7"/>
    <sheet name="Calcul de la réserve" sheetId="6" r:id="rId8"/>
    <sheet name="Calcul charges d'exploitation" sheetId="11" r:id="rId9"/>
    <sheet name="Calcul du coût du GC" sheetId="12" r:id="rId10"/>
    <sheet name="Calcul location" sheetId="7" r:id="rId11"/>
  </sheets>
  <definedNames>
    <definedName name="a1___" hidden="1">{#N/A,#N/A,FALSE,0;0,#N/A,FALSE,0;#N/A,#N/A,FALSE,0;#N/A,#N/A,FALSE,0;#N/A,#N/A,FALSE,0;0,#N/A,FALSE,0;#N/A,#N/A,FALSE,0;#N/A,#N/A,FALSE,0;#N/A,#N/A,FALSE,0}</definedName>
    <definedName name="anscount" hidden="1">1</definedName>
    <definedName name="b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BWorkbookPriority" hidden="1">-601901088</definedName>
    <definedName name="Charges_d_exploitation">'Tableau de bord'!$B$132:$AZ$133</definedName>
    <definedName name="CMPC">'Tableau de bord'!$B$80:$AZ$81</definedName>
    <definedName name="Coefficient_expost">'Tableau de bord'!$B$43:$AZ$44</definedName>
    <definedName name="Cofinancement">'Tableau de bord'!$B$47:$AZ$49</definedName>
    <definedName name="Cofinancement_générique">'Tableau de bord'!$B$149:$AZ$151</definedName>
    <definedName name="Cout_programmée">'Tableau de bord'!$B$96:$C$97</definedName>
    <definedName name="Cout_raccordable">'Tableau de bord'!$B$100:$C$101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efinit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efinitiv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éfinitiv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sp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urée_de_vie">'Tableau de bord'!$C$7:$AZ$7</definedName>
    <definedName name="fgh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RFF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gr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Inflation">'Tableau de bord'!$B$92:$AZ$93</definedName>
    <definedName name="Lignes_programmées">'Tableau de bord'!$B$19:$AZ$21</definedName>
    <definedName name="Lignes_raccordables">'Tableau de bord'!$B$29:$AZ$30</definedName>
    <definedName name="Pdm">'Tableau de bord'!$B$144:$AZ$146</definedName>
    <definedName name="Prime_risque_cofi">'Tableau de bord'!$B$84:$AZ$85</definedName>
    <definedName name="Prime_risque_expost">'Tableau de bord'!$B$37:$AZ$38</definedName>
    <definedName name="Prime_risque_loc">'Tableau de bord'!$B$88:$AZ$89</definedName>
    <definedName name="print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Prix_programmée">'Tableau de bord'!$B$54:$C$55</definedName>
    <definedName name="Prix_raccordable">'Tableau de bord'!$B$58:$C$59</definedName>
    <definedName name="Prix_renouvellement">'Tableau de bord'!$B$64:$C$65</definedName>
    <definedName name="Taux_pénétration">'Tableau de bord'!$B$72:$AZ$75</definedName>
    <definedName name="tir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Vitesse_raccordables">'Tableau de bord'!$B$24:$G$26</definedName>
    <definedName name="v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</definedNames>
  <calcPr calcId="145621"/>
</workbook>
</file>

<file path=xl/calcChain.xml><?xml version="1.0" encoding="utf-8"?>
<calcChain xmlns="http://schemas.openxmlformats.org/spreadsheetml/2006/main">
  <c r="B148" i="13" l="1"/>
  <c r="D137" i="13" l="1"/>
  <c r="E137" i="13"/>
  <c r="F137" i="13"/>
  <c r="G137" i="13"/>
  <c r="H137" i="13"/>
  <c r="I137" i="13"/>
  <c r="J137" i="13"/>
  <c r="K137" i="13"/>
  <c r="L137" i="13"/>
  <c r="M137" i="13"/>
  <c r="N137" i="13"/>
  <c r="O137" i="13"/>
  <c r="P137" i="13"/>
  <c r="Q137" i="13"/>
  <c r="R137" i="13"/>
  <c r="S137" i="13"/>
  <c r="T137" i="13"/>
  <c r="U137" i="13"/>
  <c r="V137" i="13"/>
  <c r="W137" i="13"/>
  <c r="X137" i="13"/>
  <c r="Y137" i="13"/>
  <c r="Z137" i="13"/>
  <c r="AA137" i="13"/>
  <c r="AB137" i="13"/>
  <c r="AC137" i="13"/>
  <c r="AD137" i="13"/>
  <c r="AE137" i="13"/>
  <c r="AF137" i="13"/>
  <c r="AG137" i="13"/>
  <c r="AH137" i="13"/>
  <c r="AI137" i="13"/>
  <c r="AJ137" i="13"/>
  <c r="AK137" i="13"/>
  <c r="AL137" i="13"/>
  <c r="AM137" i="13"/>
  <c r="AN137" i="13"/>
  <c r="AO137" i="13"/>
  <c r="AP137" i="13"/>
  <c r="AQ137" i="13"/>
  <c r="AR137" i="13"/>
  <c r="AS137" i="13"/>
  <c r="AT137" i="13"/>
  <c r="AU137" i="13"/>
  <c r="AV137" i="13"/>
  <c r="AW137" i="13"/>
  <c r="AX137" i="13"/>
  <c r="AY137" i="13"/>
  <c r="AZ137" i="13"/>
  <c r="C137" i="13"/>
  <c r="D74" i="13" l="1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C7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C115" i="13"/>
  <c r="D127" i="13"/>
  <c r="E127" i="13"/>
  <c r="F127" i="13"/>
  <c r="G127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AR127" i="13"/>
  <c r="AS127" i="13"/>
  <c r="AT127" i="13"/>
  <c r="AU127" i="13"/>
  <c r="AV127" i="13"/>
  <c r="AW127" i="13"/>
  <c r="AX127" i="13"/>
  <c r="AY127" i="13"/>
  <c r="AZ127" i="13"/>
  <c r="C127" i="13"/>
  <c r="C76" i="3" l="1"/>
  <c r="J112" i="7" l="1"/>
  <c r="G109" i="7"/>
  <c r="M114" i="7"/>
  <c r="N114" i="7"/>
  <c r="O114" i="7"/>
  <c r="P114" i="7"/>
  <c r="Q114" i="7"/>
  <c r="R114" i="7"/>
  <c r="S114" i="7"/>
  <c r="T114" i="7"/>
  <c r="U114" i="7"/>
  <c r="V114" i="7"/>
  <c r="W114" i="7"/>
  <c r="X114" i="7"/>
  <c r="Y114" i="7"/>
  <c r="Z114" i="7"/>
  <c r="AA114" i="7"/>
  <c r="AB114" i="7"/>
  <c r="AC114" i="7"/>
  <c r="AD114" i="7"/>
  <c r="AF114" i="7"/>
  <c r="AG114" i="7"/>
  <c r="AH114" i="7"/>
  <c r="AI114" i="7"/>
  <c r="AJ114" i="7"/>
  <c r="AK114" i="7"/>
  <c r="AL114" i="7"/>
  <c r="AM114" i="7"/>
  <c r="AN114" i="7"/>
  <c r="AO114" i="7"/>
  <c r="AP114" i="7"/>
  <c r="AQ114" i="7"/>
  <c r="AR114" i="7"/>
  <c r="AS114" i="7"/>
  <c r="AT114" i="7"/>
  <c r="AU114" i="7"/>
  <c r="AV114" i="7"/>
  <c r="AW114" i="7"/>
  <c r="AX114" i="7"/>
  <c r="AZ114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AE113" i="7"/>
  <c r="AF113" i="7"/>
  <c r="AG113" i="7"/>
  <c r="AH113" i="7"/>
  <c r="AI113" i="7"/>
  <c r="AJ113" i="7"/>
  <c r="AK113" i="7"/>
  <c r="AL113" i="7"/>
  <c r="AM113" i="7"/>
  <c r="AN113" i="7"/>
  <c r="AO113" i="7"/>
  <c r="AP113" i="7"/>
  <c r="AQ113" i="7"/>
  <c r="AR113" i="7"/>
  <c r="AS113" i="7"/>
  <c r="AT113" i="7"/>
  <c r="AU113" i="7"/>
  <c r="AV113" i="7"/>
  <c r="AW113" i="7"/>
  <c r="AY113" i="7"/>
  <c r="AZ113" i="7"/>
  <c r="K112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D112" i="7"/>
  <c r="AE112" i="7"/>
  <c r="AF112" i="7"/>
  <c r="AG112" i="7"/>
  <c r="AH112" i="7"/>
  <c r="AI112" i="7"/>
  <c r="AJ112" i="7"/>
  <c r="AK112" i="7"/>
  <c r="AL112" i="7"/>
  <c r="AM112" i="7"/>
  <c r="AN112" i="7"/>
  <c r="AO112" i="7"/>
  <c r="AP112" i="7"/>
  <c r="AQ112" i="7"/>
  <c r="AR112" i="7"/>
  <c r="AS112" i="7"/>
  <c r="AT112" i="7"/>
  <c r="AU112" i="7"/>
  <c r="AV112" i="7"/>
  <c r="AX112" i="7"/>
  <c r="AY112" i="7"/>
  <c r="AZ112" i="7"/>
  <c r="L114" i="7"/>
  <c r="K113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C111" i="7"/>
  <c r="AD111" i="7"/>
  <c r="AE111" i="7"/>
  <c r="AF111" i="7"/>
  <c r="AG111" i="7"/>
  <c r="AH111" i="7"/>
  <c r="AI111" i="7"/>
  <c r="AJ111" i="7"/>
  <c r="AK111" i="7"/>
  <c r="AL111" i="7"/>
  <c r="AM111" i="7"/>
  <c r="AN111" i="7"/>
  <c r="AO111" i="7"/>
  <c r="AP111" i="7"/>
  <c r="AQ111" i="7"/>
  <c r="AR111" i="7"/>
  <c r="AS111" i="7"/>
  <c r="AT111" i="7"/>
  <c r="AU111" i="7"/>
  <c r="AW111" i="7"/>
  <c r="AX111" i="7"/>
  <c r="AY111" i="7"/>
  <c r="AZ111" i="7"/>
  <c r="I111" i="7"/>
  <c r="I110" i="7"/>
  <c r="J110" i="7"/>
  <c r="K110" i="7"/>
  <c r="L110" i="7"/>
  <c r="M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B110" i="7"/>
  <c r="AC110" i="7"/>
  <c r="AD110" i="7"/>
  <c r="AE110" i="7"/>
  <c r="AF110" i="7"/>
  <c r="AG110" i="7"/>
  <c r="AH110" i="7"/>
  <c r="AI110" i="7"/>
  <c r="AJ110" i="7"/>
  <c r="AK110" i="7"/>
  <c r="AL110" i="7"/>
  <c r="AM110" i="7"/>
  <c r="AN110" i="7"/>
  <c r="AO110" i="7"/>
  <c r="AP110" i="7"/>
  <c r="AQ110" i="7"/>
  <c r="AR110" i="7"/>
  <c r="AS110" i="7"/>
  <c r="AT110" i="7"/>
  <c r="AV110" i="7"/>
  <c r="AW110" i="7"/>
  <c r="AX110" i="7"/>
  <c r="AY110" i="7"/>
  <c r="AZ110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U109" i="7"/>
  <c r="AV109" i="7"/>
  <c r="AW109" i="7"/>
  <c r="AX109" i="7"/>
  <c r="AY109" i="7"/>
  <c r="AZ109" i="7"/>
  <c r="H110" i="7"/>
  <c r="G108" i="7"/>
  <c r="H108" i="7"/>
  <c r="I108" i="7"/>
  <c r="J108" i="7"/>
  <c r="K108" i="7"/>
  <c r="L108" i="7"/>
  <c r="M108" i="7"/>
  <c r="N108" i="7"/>
  <c r="O108" i="7"/>
  <c r="P108" i="7"/>
  <c r="Q108" i="7"/>
  <c r="R108" i="7"/>
  <c r="S108" i="7"/>
  <c r="T108" i="7"/>
  <c r="U108" i="7"/>
  <c r="V108" i="7"/>
  <c r="W108" i="7"/>
  <c r="X108" i="7"/>
  <c r="Z108" i="7"/>
  <c r="AA108" i="7"/>
  <c r="AB108" i="7"/>
  <c r="AC108" i="7"/>
  <c r="AD108" i="7"/>
  <c r="AE108" i="7"/>
  <c r="AF108" i="7"/>
  <c r="AG108" i="7"/>
  <c r="AH108" i="7"/>
  <c r="AI108" i="7"/>
  <c r="AJ108" i="7"/>
  <c r="AK108" i="7"/>
  <c r="AL108" i="7"/>
  <c r="AM108" i="7"/>
  <c r="AN108" i="7"/>
  <c r="AO108" i="7"/>
  <c r="AP108" i="7"/>
  <c r="AQ108" i="7"/>
  <c r="AR108" i="7"/>
  <c r="AT108" i="7"/>
  <c r="AU108" i="7"/>
  <c r="AV108" i="7"/>
  <c r="AW108" i="7"/>
  <c r="AX108" i="7"/>
  <c r="AY108" i="7"/>
  <c r="AZ108" i="7"/>
  <c r="F108" i="7"/>
  <c r="F107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07" i="7"/>
  <c r="T107" i="7"/>
  <c r="U107" i="7"/>
  <c r="V107" i="7"/>
  <c r="W107" i="7"/>
  <c r="Y107" i="7"/>
  <c r="Z107" i="7"/>
  <c r="AA107" i="7"/>
  <c r="AB107" i="7"/>
  <c r="AC107" i="7"/>
  <c r="AD107" i="7"/>
  <c r="AE107" i="7"/>
  <c r="AF107" i="7"/>
  <c r="AG107" i="7"/>
  <c r="AH107" i="7"/>
  <c r="AI107" i="7"/>
  <c r="AJ107" i="7"/>
  <c r="AK107" i="7"/>
  <c r="AL107" i="7"/>
  <c r="AM107" i="7"/>
  <c r="AN107" i="7"/>
  <c r="AO107" i="7"/>
  <c r="AP107" i="7"/>
  <c r="AQ107" i="7"/>
  <c r="AS107" i="7"/>
  <c r="AT107" i="7"/>
  <c r="AU107" i="7"/>
  <c r="AV107" i="7"/>
  <c r="AW107" i="7"/>
  <c r="AX107" i="7"/>
  <c r="AY107" i="7"/>
  <c r="AZ107" i="7"/>
  <c r="E107" i="7"/>
  <c r="E106" i="7"/>
  <c r="F106" i="7"/>
  <c r="G106" i="7"/>
  <c r="H106" i="7"/>
  <c r="I106" i="7"/>
  <c r="J106" i="7"/>
  <c r="K106" i="7"/>
  <c r="L106" i="7"/>
  <c r="M106" i="7"/>
  <c r="N106" i="7"/>
  <c r="O106" i="7"/>
  <c r="P106" i="7"/>
  <c r="Q106" i="7"/>
  <c r="R106" i="7"/>
  <c r="S106" i="7"/>
  <c r="T106" i="7"/>
  <c r="U106" i="7"/>
  <c r="V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AJ106" i="7"/>
  <c r="AK106" i="7"/>
  <c r="AL106" i="7"/>
  <c r="AM106" i="7"/>
  <c r="AN106" i="7"/>
  <c r="AO106" i="7"/>
  <c r="AP106" i="7"/>
  <c r="AR106" i="7"/>
  <c r="AS106" i="7"/>
  <c r="AT106" i="7"/>
  <c r="AU106" i="7"/>
  <c r="AV106" i="7"/>
  <c r="AW106" i="7"/>
  <c r="AX106" i="7"/>
  <c r="AY106" i="7"/>
  <c r="AZ106" i="7"/>
  <c r="D106" i="7"/>
  <c r="D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W105" i="7"/>
  <c r="X105" i="7"/>
  <c r="Y105" i="7"/>
  <c r="Z105" i="7"/>
  <c r="AA105" i="7"/>
  <c r="AB105" i="7"/>
  <c r="AC105" i="7"/>
  <c r="AD105" i="7"/>
  <c r="AE105" i="7"/>
  <c r="AF105" i="7"/>
  <c r="AG105" i="7"/>
  <c r="AH105" i="7"/>
  <c r="AI105" i="7"/>
  <c r="AJ105" i="7"/>
  <c r="AK105" i="7"/>
  <c r="AL105" i="7"/>
  <c r="AM105" i="7"/>
  <c r="AN105" i="7"/>
  <c r="AO105" i="7"/>
  <c r="AQ105" i="7"/>
  <c r="AR105" i="7"/>
  <c r="AS105" i="7"/>
  <c r="AT105" i="7"/>
  <c r="AU105" i="7"/>
  <c r="AV105" i="7"/>
  <c r="AW105" i="7"/>
  <c r="AX105" i="7"/>
  <c r="AY105" i="7"/>
  <c r="AZ105" i="7"/>
  <c r="C105" i="7"/>
  <c r="C21" i="7" s="1"/>
  <c r="N21" i="7" l="1"/>
  <c r="AI21" i="7"/>
  <c r="R21" i="7"/>
  <c r="F21" i="7"/>
  <c r="AZ21" i="7"/>
  <c r="AM21" i="7"/>
  <c r="J21" i="7"/>
  <c r="AN21" i="7"/>
  <c r="AJ21" i="7"/>
  <c r="AF21" i="7"/>
  <c r="S21" i="7"/>
  <c r="O21" i="7"/>
  <c r="K21" i="7"/>
  <c r="G21" i="7"/>
  <c r="AL21" i="7"/>
  <c r="AH21" i="7"/>
  <c r="U21" i="7"/>
  <c r="Q21" i="7"/>
  <c r="M21" i="7"/>
  <c r="I21" i="7"/>
  <c r="E21" i="7"/>
  <c r="AO21" i="7"/>
  <c r="AK21" i="7"/>
  <c r="AG21" i="7"/>
  <c r="T21" i="7"/>
  <c r="P21" i="7"/>
  <c r="L21" i="7"/>
  <c r="H21" i="7"/>
  <c r="D21" i="7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R77" i="3"/>
  <c r="AS77" i="3"/>
  <c r="AT77" i="3"/>
  <c r="AU77" i="3"/>
  <c r="AV77" i="3"/>
  <c r="AW77" i="3"/>
  <c r="AX77" i="3"/>
  <c r="AY77" i="3"/>
  <c r="AZ77" i="3"/>
  <c r="D77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S78" i="3"/>
  <c r="AT78" i="3"/>
  <c r="AU78" i="3"/>
  <c r="AV78" i="3"/>
  <c r="AW78" i="3"/>
  <c r="AX78" i="3"/>
  <c r="AY78" i="3"/>
  <c r="AZ78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T79" i="3"/>
  <c r="AU79" i="3"/>
  <c r="AV79" i="3"/>
  <c r="AW79" i="3"/>
  <c r="AX79" i="3"/>
  <c r="AY79" i="3"/>
  <c r="AZ79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U80" i="3"/>
  <c r="AV80" i="3"/>
  <c r="AW80" i="3"/>
  <c r="AX80" i="3"/>
  <c r="AY80" i="3"/>
  <c r="AZ80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V81" i="3"/>
  <c r="AW81" i="3"/>
  <c r="AX81" i="3"/>
  <c r="AY81" i="3"/>
  <c r="AZ81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W82" i="3"/>
  <c r="AX82" i="3"/>
  <c r="AY82" i="3"/>
  <c r="AZ82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X83" i="3"/>
  <c r="AY83" i="3"/>
  <c r="AZ83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Y84" i="3"/>
  <c r="AZ84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Z85" i="3"/>
  <c r="L85" i="3"/>
  <c r="K84" i="3"/>
  <c r="J83" i="3"/>
  <c r="I82" i="3"/>
  <c r="H81" i="3"/>
  <c r="G80" i="3"/>
  <c r="F79" i="3"/>
  <c r="E78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Q76" i="3"/>
  <c r="AR76" i="3"/>
  <c r="AS76" i="3"/>
  <c r="AT76" i="3"/>
  <c r="AU76" i="3"/>
  <c r="AV76" i="3"/>
  <c r="AW76" i="3"/>
  <c r="AX76" i="3"/>
  <c r="AY76" i="3"/>
  <c r="AZ76" i="3"/>
  <c r="C63" i="13"/>
  <c r="C87" i="13" l="1"/>
  <c r="C13" i="3" l="1"/>
  <c r="S13" i="3" l="1"/>
  <c r="O13" i="3"/>
  <c r="K13" i="3"/>
  <c r="T13" i="3"/>
  <c r="P13" i="3"/>
  <c r="L13" i="3"/>
  <c r="H13" i="3"/>
  <c r="D13" i="3"/>
  <c r="AO13" i="3"/>
  <c r="AK13" i="3"/>
  <c r="AG13" i="3"/>
  <c r="U13" i="3"/>
  <c r="Q13" i="3"/>
  <c r="M13" i="3"/>
  <c r="I13" i="3"/>
  <c r="E13" i="3"/>
  <c r="AL13" i="3"/>
  <c r="AH13" i="3"/>
  <c r="G13" i="3"/>
  <c r="AN13" i="3"/>
  <c r="AF13" i="3"/>
  <c r="R13" i="3"/>
  <c r="N13" i="3"/>
  <c r="J13" i="3"/>
  <c r="F13" i="3"/>
  <c r="AZ13" i="3"/>
  <c r="AM13" i="3"/>
  <c r="AI13" i="3"/>
  <c r="AJ13" i="3"/>
  <c r="B4" i="11" l="1"/>
  <c r="B3" i="18"/>
  <c r="R14" i="7"/>
  <c r="S14" i="7"/>
  <c r="T14" i="7"/>
  <c r="U14" i="7"/>
  <c r="V14" i="7"/>
  <c r="B14" i="7"/>
  <c r="B8" i="3"/>
  <c r="C99" i="13"/>
  <c r="C95" i="13"/>
  <c r="B2" i="18"/>
  <c r="AZ16" i="18" l="1"/>
  <c r="B7" i="7" l="1"/>
  <c r="B6" i="7"/>
  <c r="B5" i="7"/>
  <c r="C10" i="7"/>
  <c r="B21" i="21" l="1"/>
  <c r="P148" i="13" l="1"/>
  <c r="B11" i="7" l="1"/>
  <c r="B13" i="7"/>
  <c r="B3" i="7"/>
  <c r="B2" i="7"/>
  <c r="B3" i="3"/>
  <c r="B2" i="3"/>
  <c r="D23" i="13"/>
  <c r="E23" i="13"/>
  <c r="F23" i="13"/>
  <c r="G23" i="13"/>
  <c r="C23" i="13"/>
  <c r="G143" i="13" l="1"/>
  <c r="H143" i="13"/>
  <c r="I143" i="13"/>
  <c r="J143" i="13"/>
  <c r="K143" i="13"/>
  <c r="L143" i="13"/>
  <c r="M143" i="13"/>
  <c r="N143" i="13"/>
  <c r="O143" i="13"/>
  <c r="P143" i="13"/>
  <c r="Q143" i="13"/>
  <c r="R143" i="13"/>
  <c r="S143" i="13"/>
  <c r="T143" i="13"/>
  <c r="U143" i="13"/>
  <c r="V143" i="13"/>
  <c r="W143" i="13"/>
  <c r="X143" i="13"/>
  <c r="Y143" i="13"/>
  <c r="Z143" i="13"/>
  <c r="AA143" i="13"/>
  <c r="AB143" i="13"/>
  <c r="AC143" i="13"/>
  <c r="AD143" i="13"/>
  <c r="AE143" i="13"/>
  <c r="AF143" i="13"/>
  <c r="AG143" i="13"/>
  <c r="AH143" i="13"/>
  <c r="AI143" i="13"/>
  <c r="AJ143" i="13"/>
  <c r="AK143" i="13"/>
  <c r="AL143" i="13"/>
  <c r="AM143" i="13"/>
  <c r="AN143" i="13"/>
  <c r="AO143" i="13"/>
  <c r="AP143" i="13"/>
  <c r="AQ143" i="13"/>
  <c r="AR143" i="13"/>
  <c r="B8" i="18" l="1"/>
  <c r="B16" i="7" l="1"/>
  <c r="B15" i="7"/>
  <c r="B4" i="12"/>
  <c r="B13" i="6"/>
  <c r="G4" i="12" l="1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10" i="18"/>
  <c r="B5" i="6" l="1"/>
  <c r="B4" i="6"/>
  <c r="G148" i="13"/>
  <c r="G15" i="7" s="1"/>
  <c r="H148" i="13"/>
  <c r="H15" i="7" s="1"/>
  <c r="I148" i="13"/>
  <c r="I15" i="7" s="1"/>
  <c r="J148" i="13"/>
  <c r="J15" i="7" s="1"/>
  <c r="K148" i="13"/>
  <c r="K15" i="7" s="1"/>
  <c r="L148" i="13"/>
  <c r="L15" i="7" s="1"/>
  <c r="M148" i="13"/>
  <c r="M15" i="7" s="1"/>
  <c r="N148" i="13"/>
  <c r="N15" i="7" s="1"/>
  <c r="O148" i="13"/>
  <c r="O15" i="7" s="1"/>
  <c r="P15" i="7"/>
  <c r="Q148" i="13"/>
  <c r="Q15" i="7" s="1"/>
  <c r="R148" i="13"/>
  <c r="R15" i="7" s="1"/>
  <c r="S148" i="13"/>
  <c r="S15" i="7" s="1"/>
  <c r="T148" i="13"/>
  <c r="T15" i="7" s="1"/>
  <c r="U148" i="13"/>
  <c r="U15" i="7" s="1"/>
  <c r="V148" i="13"/>
  <c r="V15" i="7" s="1"/>
  <c r="W148" i="13"/>
  <c r="W15" i="7" s="1"/>
  <c r="X148" i="13"/>
  <c r="X15" i="7" s="1"/>
  <c r="Y148" i="13"/>
  <c r="Y15" i="7" s="1"/>
  <c r="Z148" i="13"/>
  <c r="Z15" i="7" s="1"/>
  <c r="AA148" i="13"/>
  <c r="AA15" i="7" s="1"/>
  <c r="AB148" i="13"/>
  <c r="AB15" i="7" s="1"/>
  <c r="AC148" i="13"/>
  <c r="AC15" i="7" s="1"/>
  <c r="AD148" i="13"/>
  <c r="AD15" i="7" s="1"/>
  <c r="AE148" i="13"/>
  <c r="AE15" i="7" s="1"/>
  <c r="AF148" i="13"/>
  <c r="AF15" i="7" s="1"/>
  <c r="AG148" i="13"/>
  <c r="AG15" i="7" s="1"/>
  <c r="AH148" i="13"/>
  <c r="AH15" i="7" s="1"/>
  <c r="AI148" i="13"/>
  <c r="AI15" i="7" s="1"/>
  <c r="AJ148" i="13"/>
  <c r="AJ15" i="7" s="1"/>
  <c r="AK148" i="13"/>
  <c r="AK15" i="7" s="1"/>
  <c r="AL148" i="13"/>
  <c r="AL15" i="7" s="1"/>
  <c r="AM148" i="13"/>
  <c r="AM15" i="7" s="1"/>
  <c r="AN148" i="13"/>
  <c r="AN15" i="7" s="1"/>
  <c r="AO148" i="13"/>
  <c r="AO15" i="7" s="1"/>
  <c r="AP148" i="13"/>
  <c r="AP15" i="7" s="1"/>
  <c r="AQ148" i="13"/>
  <c r="AQ15" i="7" s="1"/>
  <c r="AR148" i="13"/>
  <c r="AR15" i="7" s="1"/>
  <c r="AS148" i="13"/>
  <c r="AS15" i="7" s="1"/>
  <c r="AT148" i="13"/>
  <c r="AT15" i="7" s="1"/>
  <c r="AU148" i="13"/>
  <c r="AU15" i="7" s="1"/>
  <c r="AV148" i="13"/>
  <c r="AV15" i="7" s="1"/>
  <c r="AW148" i="13"/>
  <c r="AW15" i="7" s="1"/>
  <c r="AX148" i="13"/>
  <c r="AX15" i="7" s="1"/>
  <c r="AY148" i="13"/>
  <c r="AY15" i="7" s="1"/>
  <c r="AZ148" i="13"/>
  <c r="AZ15" i="7" s="1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43" i="13"/>
  <c r="AS16" i="7" s="1"/>
  <c r="AT143" i="13"/>
  <c r="AT16" i="7" s="1"/>
  <c r="AU143" i="13"/>
  <c r="AU16" i="7" s="1"/>
  <c r="AV143" i="13"/>
  <c r="AV16" i="7" s="1"/>
  <c r="AW143" i="13"/>
  <c r="AW16" i="7" s="1"/>
  <c r="AX143" i="13"/>
  <c r="AX16" i="7" s="1"/>
  <c r="AY143" i="13"/>
  <c r="AY16" i="7" s="1"/>
  <c r="AZ143" i="13"/>
  <c r="AZ16" i="7" s="1"/>
  <c r="B7" i="18"/>
  <c r="G91" i="13"/>
  <c r="H91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3" i="6"/>
  <c r="G83" i="13"/>
  <c r="G87" i="13" s="1"/>
  <c r="H83" i="13"/>
  <c r="H87" i="13" s="1"/>
  <c r="I83" i="13"/>
  <c r="I87" i="13" s="1"/>
  <c r="J83" i="13"/>
  <c r="J87" i="13" s="1"/>
  <c r="K83" i="13"/>
  <c r="K87" i="13" s="1"/>
  <c r="L83" i="13"/>
  <c r="L87" i="13" s="1"/>
  <c r="M83" i="13"/>
  <c r="M87" i="13" s="1"/>
  <c r="N83" i="13"/>
  <c r="N87" i="13" s="1"/>
  <c r="O83" i="13"/>
  <c r="O87" i="13" s="1"/>
  <c r="P83" i="13"/>
  <c r="P87" i="13" s="1"/>
  <c r="Q83" i="13"/>
  <c r="Q87" i="13" s="1"/>
  <c r="R83" i="13"/>
  <c r="R87" i="13" s="1"/>
  <c r="S83" i="13"/>
  <c r="S87" i="13" s="1"/>
  <c r="T83" i="13"/>
  <c r="T87" i="13" s="1"/>
  <c r="U83" i="13"/>
  <c r="U87" i="13" s="1"/>
  <c r="V83" i="13"/>
  <c r="V87" i="13" s="1"/>
  <c r="W83" i="13"/>
  <c r="W87" i="13" s="1"/>
  <c r="X83" i="13"/>
  <c r="X87" i="13" s="1"/>
  <c r="Y83" i="13"/>
  <c r="Y87" i="13" s="1"/>
  <c r="Z83" i="13"/>
  <c r="Z87" i="13" s="1"/>
  <c r="AA83" i="13"/>
  <c r="AA87" i="13" s="1"/>
  <c r="AB83" i="13"/>
  <c r="AB87" i="13" s="1"/>
  <c r="AC83" i="13"/>
  <c r="AC87" i="13" s="1"/>
  <c r="AD83" i="13"/>
  <c r="AD87" i="13" s="1"/>
  <c r="AE83" i="13"/>
  <c r="AE87" i="13" s="1"/>
  <c r="AF83" i="13"/>
  <c r="AF87" i="13" s="1"/>
  <c r="AG83" i="13"/>
  <c r="AG87" i="13" s="1"/>
  <c r="AH83" i="13"/>
  <c r="AH87" i="13" s="1"/>
  <c r="AI83" i="13"/>
  <c r="AI87" i="13" s="1"/>
  <c r="AJ83" i="13"/>
  <c r="AJ87" i="13" s="1"/>
  <c r="AK83" i="13"/>
  <c r="AK87" i="13" s="1"/>
  <c r="AL83" i="13"/>
  <c r="AL87" i="13" s="1"/>
  <c r="AM83" i="13"/>
  <c r="AM87" i="13" s="1"/>
  <c r="AN83" i="13"/>
  <c r="AN87" i="13" s="1"/>
  <c r="AO83" i="13"/>
  <c r="AO87" i="13" s="1"/>
  <c r="AP83" i="13"/>
  <c r="AP87" i="13" s="1"/>
  <c r="AQ83" i="13"/>
  <c r="AQ87" i="13" s="1"/>
  <c r="AR83" i="13"/>
  <c r="AR87" i="13" s="1"/>
  <c r="AS83" i="13"/>
  <c r="AS87" i="13" s="1"/>
  <c r="AT83" i="13"/>
  <c r="AT87" i="13" s="1"/>
  <c r="AU83" i="13"/>
  <c r="AU87" i="13" s="1"/>
  <c r="AV83" i="13"/>
  <c r="AV87" i="13" s="1"/>
  <c r="AW83" i="13"/>
  <c r="AW87" i="13" s="1"/>
  <c r="AX83" i="13"/>
  <c r="AX87" i="13" s="1"/>
  <c r="AY83" i="13"/>
  <c r="AY87" i="13" s="1"/>
  <c r="AZ83" i="13"/>
  <c r="AZ87" i="13" s="1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5" i="5"/>
  <c r="B6" i="18"/>
  <c r="D71" i="13"/>
  <c r="E6" i="18" s="1"/>
  <c r="E71" i="13"/>
  <c r="F6" i="18" s="1"/>
  <c r="F71" i="13"/>
  <c r="G6" i="18" s="1"/>
  <c r="G71" i="13"/>
  <c r="H6" i="18" s="1"/>
  <c r="H71" i="13"/>
  <c r="I6" i="18" s="1"/>
  <c r="I71" i="13"/>
  <c r="J6" i="18" s="1"/>
  <c r="J71" i="13"/>
  <c r="K6" i="18" s="1"/>
  <c r="K71" i="13"/>
  <c r="L6" i="18" s="1"/>
  <c r="L71" i="13"/>
  <c r="M6" i="18" s="1"/>
  <c r="M71" i="13"/>
  <c r="N6" i="18" s="1"/>
  <c r="N71" i="13"/>
  <c r="O6" i="18" s="1"/>
  <c r="O71" i="13"/>
  <c r="P6" i="18" s="1"/>
  <c r="P71" i="13"/>
  <c r="Q6" i="18" s="1"/>
  <c r="Q71" i="13"/>
  <c r="R6" i="18" s="1"/>
  <c r="R71" i="13"/>
  <c r="S6" i="18" s="1"/>
  <c r="S71" i="13"/>
  <c r="T6" i="18" s="1"/>
  <c r="T71" i="13"/>
  <c r="U6" i="18" s="1"/>
  <c r="U71" i="13"/>
  <c r="V6" i="18" s="1"/>
  <c r="V71" i="13"/>
  <c r="W6" i="18" s="1"/>
  <c r="W71" i="13"/>
  <c r="X6" i="18" s="1"/>
  <c r="X71" i="13"/>
  <c r="Y6" i="18" s="1"/>
  <c r="Y71" i="13"/>
  <c r="Z6" i="18" s="1"/>
  <c r="Z71" i="13"/>
  <c r="AA6" i="18" s="1"/>
  <c r="AA71" i="13"/>
  <c r="AB6" i="18" s="1"/>
  <c r="AB71" i="13"/>
  <c r="AC6" i="18" s="1"/>
  <c r="AC71" i="13"/>
  <c r="AD6" i="18" s="1"/>
  <c r="AD71" i="13"/>
  <c r="AE6" i="18" s="1"/>
  <c r="AE71" i="13"/>
  <c r="AF6" i="18" s="1"/>
  <c r="AF71" i="13"/>
  <c r="AG6" i="18" s="1"/>
  <c r="AG71" i="13"/>
  <c r="AH6" i="18" s="1"/>
  <c r="AH71" i="13"/>
  <c r="AI6" i="18" s="1"/>
  <c r="AI71" i="13"/>
  <c r="AJ6" i="18" s="1"/>
  <c r="AJ71" i="13"/>
  <c r="AK6" i="18" s="1"/>
  <c r="AK71" i="13"/>
  <c r="AL6" i="18" s="1"/>
  <c r="AL71" i="13"/>
  <c r="AM6" i="18" s="1"/>
  <c r="AM71" i="13"/>
  <c r="AN6" i="18" s="1"/>
  <c r="AN71" i="13"/>
  <c r="AO6" i="18" s="1"/>
  <c r="AO71" i="13"/>
  <c r="AP6" i="18" s="1"/>
  <c r="AP71" i="13"/>
  <c r="AQ6" i="18" s="1"/>
  <c r="AQ71" i="13"/>
  <c r="AR6" i="18" s="1"/>
  <c r="AR71" i="13"/>
  <c r="AS6" i="18" s="1"/>
  <c r="AS71" i="13"/>
  <c r="AT6" i="18" s="1"/>
  <c r="AT71" i="13"/>
  <c r="AU6" i="18" s="1"/>
  <c r="AU71" i="13"/>
  <c r="AV6" i="18" s="1"/>
  <c r="AV71" i="13"/>
  <c r="AW6" i="18" s="1"/>
  <c r="AW71" i="13"/>
  <c r="AX6" i="18" s="1"/>
  <c r="AX71" i="13"/>
  <c r="AY6" i="18" s="1"/>
  <c r="AY71" i="13"/>
  <c r="AZ6" i="18" s="1"/>
  <c r="AZ71" i="13"/>
  <c r="AZ5" i="5" s="1"/>
  <c r="C71" i="13"/>
  <c r="D6" i="18" s="1"/>
  <c r="B9" i="3"/>
  <c r="B7" i="3"/>
  <c r="B5" i="3"/>
  <c r="E46" i="13"/>
  <c r="E9" i="3" s="1"/>
  <c r="F46" i="13"/>
  <c r="F9" i="3" s="1"/>
  <c r="G46" i="13"/>
  <c r="G9" i="3" s="1"/>
  <c r="H46" i="13"/>
  <c r="H9" i="3" s="1"/>
  <c r="I46" i="13"/>
  <c r="I9" i="3" s="1"/>
  <c r="J46" i="13"/>
  <c r="J9" i="3" s="1"/>
  <c r="K46" i="13"/>
  <c r="K9" i="3" s="1"/>
  <c r="L46" i="13"/>
  <c r="L9" i="3" s="1"/>
  <c r="M46" i="13"/>
  <c r="M9" i="3" s="1"/>
  <c r="N46" i="13"/>
  <c r="N9" i="3" s="1"/>
  <c r="O46" i="13"/>
  <c r="O9" i="3" s="1"/>
  <c r="P46" i="13"/>
  <c r="P9" i="3" s="1"/>
  <c r="Q46" i="13"/>
  <c r="Q9" i="3" s="1"/>
  <c r="R46" i="13"/>
  <c r="R9" i="3" s="1"/>
  <c r="S46" i="13"/>
  <c r="S9" i="3" s="1"/>
  <c r="T46" i="13"/>
  <c r="T9" i="3" s="1"/>
  <c r="U46" i="13"/>
  <c r="U9" i="3" s="1"/>
  <c r="V46" i="13"/>
  <c r="V9" i="3" s="1"/>
  <c r="W46" i="13"/>
  <c r="W9" i="3" s="1"/>
  <c r="X46" i="13"/>
  <c r="X9" i="3" s="1"/>
  <c r="Y46" i="13"/>
  <c r="Y9" i="3" s="1"/>
  <c r="Z46" i="13"/>
  <c r="Z9" i="3" s="1"/>
  <c r="AA46" i="13"/>
  <c r="AA9" i="3" s="1"/>
  <c r="AB46" i="13"/>
  <c r="AB9" i="3" s="1"/>
  <c r="AC46" i="13"/>
  <c r="AC9" i="3" s="1"/>
  <c r="AD46" i="13"/>
  <c r="AD9" i="3" s="1"/>
  <c r="AE46" i="13"/>
  <c r="AE9" i="3" s="1"/>
  <c r="AF46" i="13"/>
  <c r="AF9" i="3" s="1"/>
  <c r="AG46" i="13"/>
  <c r="AG9" i="3" s="1"/>
  <c r="AH46" i="13"/>
  <c r="AH9" i="3" s="1"/>
  <c r="AI46" i="13"/>
  <c r="AI9" i="3" s="1"/>
  <c r="AJ46" i="13"/>
  <c r="AJ9" i="3" s="1"/>
  <c r="AK46" i="13"/>
  <c r="AK9" i="3" s="1"/>
  <c r="AL46" i="13"/>
  <c r="AL9" i="3" s="1"/>
  <c r="AM46" i="13"/>
  <c r="AM9" i="3" s="1"/>
  <c r="AN46" i="13"/>
  <c r="AN9" i="3" s="1"/>
  <c r="AO46" i="13"/>
  <c r="AO9" i="3" s="1"/>
  <c r="AP46" i="13"/>
  <c r="AP9" i="3" s="1"/>
  <c r="AQ46" i="13"/>
  <c r="AQ9" i="3" s="1"/>
  <c r="AR46" i="13"/>
  <c r="AR9" i="3" s="1"/>
  <c r="AS46" i="13"/>
  <c r="AS9" i="3" s="1"/>
  <c r="AT46" i="13"/>
  <c r="AT9" i="3" s="1"/>
  <c r="AU46" i="13"/>
  <c r="AU9" i="3" s="1"/>
  <c r="AV46" i="13"/>
  <c r="AV9" i="3" s="1"/>
  <c r="AW46" i="13"/>
  <c r="AW9" i="3" s="1"/>
  <c r="AX46" i="13"/>
  <c r="AX9" i="3" s="1"/>
  <c r="AY46" i="13"/>
  <c r="AY9" i="3" s="1"/>
  <c r="AZ46" i="13"/>
  <c r="AZ9" i="3" s="1"/>
  <c r="D18" i="13"/>
  <c r="D13" i="7" s="1"/>
  <c r="E18" i="13"/>
  <c r="E13" i="7" s="1"/>
  <c r="F18" i="13"/>
  <c r="F13" i="7" s="1"/>
  <c r="G18" i="13"/>
  <c r="G13" i="7" s="1"/>
  <c r="H18" i="13"/>
  <c r="H13" i="7" s="1"/>
  <c r="I18" i="13"/>
  <c r="I13" i="7" s="1"/>
  <c r="J18" i="13"/>
  <c r="J13" i="7" s="1"/>
  <c r="K18" i="13"/>
  <c r="K13" i="7" s="1"/>
  <c r="L18" i="13"/>
  <c r="L13" i="7" s="1"/>
  <c r="D36" i="13"/>
  <c r="E10" i="18" s="1"/>
  <c r="E36" i="13"/>
  <c r="F10" i="18" s="1"/>
  <c r="C36" i="13"/>
  <c r="D10" i="18" s="1"/>
  <c r="AW4" i="6" l="1"/>
  <c r="AW6" i="7"/>
  <c r="AS4" i="6"/>
  <c r="AS6" i="7"/>
  <c r="AO4" i="6"/>
  <c r="AO6" i="7"/>
  <c r="AK4" i="6"/>
  <c r="AK6" i="7"/>
  <c r="AG4" i="6"/>
  <c r="AG6" i="7"/>
  <c r="AC4" i="6"/>
  <c r="AC6" i="7"/>
  <c r="Y4" i="6"/>
  <c r="Y6" i="7"/>
  <c r="U4" i="6"/>
  <c r="U6" i="7"/>
  <c r="Q4" i="6"/>
  <c r="Q6" i="7"/>
  <c r="M4" i="6"/>
  <c r="M6" i="7"/>
  <c r="I4" i="6"/>
  <c r="I6" i="7"/>
  <c r="AZ4" i="6"/>
  <c r="AZ6" i="7"/>
  <c r="AV4" i="6"/>
  <c r="AV6" i="7"/>
  <c r="AR4" i="6"/>
  <c r="AR6" i="7"/>
  <c r="AN4" i="6"/>
  <c r="AN6" i="7"/>
  <c r="AJ4" i="6"/>
  <c r="AJ6" i="7"/>
  <c r="AF4" i="6"/>
  <c r="AF6" i="7"/>
  <c r="AB4" i="6"/>
  <c r="AB6" i="7"/>
  <c r="X4" i="6"/>
  <c r="X6" i="7"/>
  <c r="T4" i="6"/>
  <c r="T6" i="7"/>
  <c r="P4" i="6"/>
  <c r="P6" i="7"/>
  <c r="L4" i="6"/>
  <c r="L6" i="7"/>
  <c r="H4" i="6"/>
  <c r="H6" i="7"/>
  <c r="AY4" i="6"/>
  <c r="AY6" i="7"/>
  <c r="AU4" i="6"/>
  <c r="AU6" i="7"/>
  <c r="AQ4" i="6"/>
  <c r="AQ6" i="7"/>
  <c r="AM4" i="6"/>
  <c r="AM6" i="7"/>
  <c r="AI4" i="6"/>
  <c r="AI6" i="7"/>
  <c r="AE4" i="6"/>
  <c r="AE6" i="7"/>
  <c r="AA4" i="6"/>
  <c r="AA6" i="7"/>
  <c r="W4" i="6"/>
  <c r="W6" i="7"/>
  <c r="S4" i="6"/>
  <c r="S6" i="7"/>
  <c r="O4" i="6"/>
  <c r="O6" i="7"/>
  <c r="K4" i="6"/>
  <c r="K6" i="7"/>
  <c r="G4" i="6"/>
  <c r="G6" i="7"/>
  <c r="AX4" i="6"/>
  <c r="AX6" i="7"/>
  <c r="AT4" i="6"/>
  <c r="AT6" i="7"/>
  <c r="AP4" i="6"/>
  <c r="AP6" i="7"/>
  <c r="AL4" i="6"/>
  <c r="AL6" i="7"/>
  <c r="AH4" i="6"/>
  <c r="AH6" i="7"/>
  <c r="AD4" i="6"/>
  <c r="AD6" i="7"/>
  <c r="Z4" i="6"/>
  <c r="Z6" i="7"/>
  <c r="V4" i="6"/>
  <c r="V6" i="7"/>
  <c r="R4" i="6"/>
  <c r="R6" i="7"/>
  <c r="N4" i="6"/>
  <c r="N6" i="7"/>
  <c r="J4" i="6"/>
  <c r="J6" i="7"/>
  <c r="AX3" i="6"/>
  <c r="AX5" i="7"/>
  <c r="AT3" i="6"/>
  <c r="AT5" i="7"/>
  <c r="AP3" i="6"/>
  <c r="AP5" i="7"/>
  <c r="AL3" i="6"/>
  <c r="AL5" i="7"/>
  <c r="AH3" i="6"/>
  <c r="AH5" i="7"/>
  <c r="AD3" i="6"/>
  <c r="AD5" i="7"/>
  <c r="Z3" i="6"/>
  <c r="Z5" i="7"/>
  <c r="V3" i="6"/>
  <c r="V5" i="7"/>
  <c r="R3" i="6"/>
  <c r="R5" i="7"/>
  <c r="N3" i="6"/>
  <c r="N5" i="7"/>
  <c r="J3" i="6"/>
  <c r="J5" i="7"/>
  <c r="AZ8" i="18"/>
  <c r="AZ14" i="18" s="1"/>
  <c r="AY7" i="7"/>
  <c r="AV8" i="18"/>
  <c r="AV14" i="18" s="1"/>
  <c r="AU7" i="7"/>
  <c r="AR8" i="18"/>
  <c r="AR14" i="18" s="1"/>
  <c r="AQ7" i="7"/>
  <c r="AN8" i="18"/>
  <c r="AN14" i="18" s="1"/>
  <c r="AM7" i="7"/>
  <c r="AJ8" i="18"/>
  <c r="AJ14" i="18" s="1"/>
  <c r="AI7" i="7"/>
  <c r="AF8" i="18"/>
  <c r="AE7" i="7"/>
  <c r="AB8" i="18"/>
  <c r="AA7" i="7"/>
  <c r="X8" i="18"/>
  <c r="W7" i="7"/>
  <c r="T8" i="18"/>
  <c r="S7" i="7"/>
  <c r="P8" i="18"/>
  <c r="O7" i="7"/>
  <c r="L8" i="18"/>
  <c r="K7" i="7"/>
  <c r="H8" i="18"/>
  <c r="G7" i="7"/>
  <c r="AW3" i="6"/>
  <c r="AW5" i="7"/>
  <c r="AS3" i="6"/>
  <c r="AS5" i="7"/>
  <c r="AO3" i="6"/>
  <c r="AO5" i="7"/>
  <c r="AK3" i="6"/>
  <c r="AK5" i="7"/>
  <c r="AG3" i="6"/>
  <c r="AG5" i="7"/>
  <c r="AC3" i="6"/>
  <c r="AC5" i="7"/>
  <c r="Y3" i="6"/>
  <c r="Y5" i="7"/>
  <c r="U3" i="6"/>
  <c r="U5" i="7"/>
  <c r="Q3" i="6"/>
  <c r="Q5" i="7"/>
  <c r="M3" i="6"/>
  <c r="M5" i="7"/>
  <c r="I3" i="6"/>
  <c r="I5" i="7"/>
  <c r="AY8" i="18"/>
  <c r="AY14" i="18" s="1"/>
  <c r="AX7" i="7"/>
  <c r="AU8" i="18"/>
  <c r="AU14" i="18" s="1"/>
  <c r="AT7" i="7"/>
  <c r="AQ8" i="18"/>
  <c r="AQ14" i="18" s="1"/>
  <c r="AP7" i="7"/>
  <c r="AM8" i="18"/>
  <c r="AM14" i="18" s="1"/>
  <c r="AL7" i="7"/>
  <c r="AI8" i="18"/>
  <c r="AI14" i="18" s="1"/>
  <c r="AH7" i="7"/>
  <c r="AE8" i="18"/>
  <c r="AD7" i="7"/>
  <c r="AA8" i="18"/>
  <c r="Z7" i="7"/>
  <c r="W8" i="18"/>
  <c r="V7" i="7"/>
  <c r="S8" i="18"/>
  <c r="R7" i="7"/>
  <c r="O8" i="18"/>
  <c r="N7" i="7"/>
  <c r="K8" i="18"/>
  <c r="J7" i="7"/>
  <c r="AZ3" i="6"/>
  <c r="AZ5" i="7"/>
  <c r="AZ8" i="7" s="1"/>
  <c r="AV3" i="6"/>
  <c r="AV5" i="7"/>
  <c r="AV8" i="7" s="1"/>
  <c r="AR3" i="6"/>
  <c r="AR5" i="7"/>
  <c r="AR8" i="7" s="1"/>
  <c r="AN3" i="6"/>
  <c r="AN5" i="7"/>
  <c r="AN8" i="7" s="1"/>
  <c r="AJ3" i="6"/>
  <c r="AJ6" i="6" s="1"/>
  <c r="AJ5" i="7"/>
  <c r="AJ8" i="7" s="1"/>
  <c r="AF3" i="6"/>
  <c r="AF5" i="7"/>
  <c r="AF8" i="7" s="1"/>
  <c r="AB3" i="6"/>
  <c r="AB5" i="7"/>
  <c r="AB8" i="7" s="1"/>
  <c r="X3" i="6"/>
  <c r="X5" i="7"/>
  <c r="X8" i="7" s="1"/>
  <c r="T3" i="6"/>
  <c r="T5" i="7"/>
  <c r="T8" i="7" s="1"/>
  <c r="P3" i="6"/>
  <c r="P5" i="7"/>
  <c r="P8" i="7" s="1"/>
  <c r="L3" i="6"/>
  <c r="L5" i="7"/>
  <c r="L8" i="7" s="1"/>
  <c r="H3" i="6"/>
  <c r="H5" i="7"/>
  <c r="H8" i="7" s="1"/>
  <c r="AX8" i="18"/>
  <c r="AX14" i="18" s="1"/>
  <c r="AW7" i="7"/>
  <c r="AT8" i="18"/>
  <c r="AS7" i="7"/>
  <c r="AP8" i="18"/>
  <c r="AP14" i="18" s="1"/>
  <c r="AO7" i="7"/>
  <c r="AL8" i="18"/>
  <c r="AL14" i="18" s="1"/>
  <c r="AK7" i="7"/>
  <c r="AH8" i="18"/>
  <c r="AH14" i="18" s="1"/>
  <c r="AG7" i="7"/>
  <c r="AD8" i="18"/>
  <c r="AC7" i="7"/>
  <c r="Z8" i="18"/>
  <c r="Y7" i="7"/>
  <c r="V8" i="18"/>
  <c r="U7" i="7"/>
  <c r="R8" i="18"/>
  <c r="Q7" i="7"/>
  <c r="N8" i="18"/>
  <c r="M7" i="7"/>
  <c r="J8" i="18"/>
  <c r="I7" i="7"/>
  <c r="AY3" i="6"/>
  <c r="AY5" i="7"/>
  <c r="AU3" i="6"/>
  <c r="AU5" i="7"/>
  <c r="AQ3" i="6"/>
  <c r="AQ5" i="7"/>
  <c r="AM3" i="6"/>
  <c r="AM5" i="7"/>
  <c r="AI3" i="6"/>
  <c r="AI5" i="7"/>
  <c r="AE3" i="6"/>
  <c r="AE5" i="7"/>
  <c r="AA3" i="6"/>
  <c r="AA5" i="7"/>
  <c r="W3" i="6"/>
  <c r="W5" i="7"/>
  <c r="S3" i="6"/>
  <c r="S5" i="7"/>
  <c r="O3" i="6"/>
  <c r="O5" i="7"/>
  <c r="K3" i="6"/>
  <c r="K5" i="7"/>
  <c r="G3" i="6"/>
  <c r="G5" i="7"/>
  <c r="AZ5" i="6"/>
  <c r="AZ7" i="7"/>
  <c r="AW8" i="18"/>
  <c r="AW14" i="18" s="1"/>
  <c r="AV7" i="7"/>
  <c r="AS8" i="18"/>
  <c r="AS14" i="18" s="1"/>
  <c r="AR7" i="7"/>
  <c r="AO8" i="18"/>
  <c r="AO14" i="18" s="1"/>
  <c r="AN7" i="7"/>
  <c r="AK8" i="18"/>
  <c r="AK14" i="18" s="1"/>
  <c r="AJ7" i="7"/>
  <c r="AG8" i="18"/>
  <c r="AF7" i="7"/>
  <c r="AC8" i="18"/>
  <c r="AB7" i="7"/>
  <c r="Y8" i="18"/>
  <c r="X7" i="7"/>
  <c r="U8" i="18"/>
  <c r="T7" i="7"/>
  <c r="Q8" i="18"/>
  <c r="P7" i="7"/>
  <c r="M8" i="18"/>
  <c r="L7" i="7"/>
  <c r="I8" i="18"/>
  <c r="H7" i="7"/>
  <c r="J7" i="3"/>
  <c r="I4" i="21"/>
  <c r="I7" i="3"/>
  <c r="H4" i="21"/>
  <c r="L7" i="3"/>
  <c r="K4" i="21"/>
  <c r="H7" i="3"/>
  <c r="G4" i="21"/>
  <c r="D7" i="3"/>
  <c r="C4" i="21"/>
  <c r="G7" i="3"/>
  <c r="F4" i="21"/>
  <c r="K7" i="3"/>
  <c r="J4" i="21"/>
  <c r="F7" i="3"/>
  <c r="E4" i="21"/>
  <c r="E7" i="3"/>
  <c r="D4" i="21"/>
  <c r="AX5" i="6"/>
  <c r="AT5" i="6"/>
  <c r="AP5" i="6"/>
  <c r="AL5" i="6"/>
  <c r="AH5" i="6"/>
  <c r="AD5" i="6"/>
  <c r="Z5" i="6"/>
  <c r="V5" i="6"/>
  <c r="R5" i="6"/>
  <c r="N5" i="6"/>
  <c r="J5" i="6"/>
  <c r="AW5" i="6"/>
  <c r="AS5" i="6"/>
  <c r="AO5" i="6"/>
  <c r="AK5" i="6"/>
  <c r="AG5" i="6"/>
  <c r="AC5" i="6"/>
  <c r="Y5" i="6"/>
  <c r="U5" i="6"/>
  <c r="Q5" i="6"/>
  <c r="M5" i="6"/>
  <c r="I5" i="6"/>
  <c r="AV5" i="6"/>
  <c r="AR5" i="6"/>
  <c r="AN5" i="6"/>
  <c r="AJ5" i="6"/>
  <c r="AF5" i="6"/>
  <c r="AB5" i="6"/>
  <c r="X5" i="6"/>
  <c r="T5" i="6"/>
  <c r="P5" i="6"/>
  <c r="L5" i="6"/>
  <c r="H5" i="6"/>
  <c r="AY5" i="6"/>
  <c r="AU5" i="6"/>
  <c r="AQ5" i="6"/>
  <c r="AM5" i="6"/>
  <c r="AI5" i="6"/>
  <c r="AE5" i="6"/>
  <c r="AA5" i="6"/>
  <c r="W5" i="6"/>
  <c r="S5" i="6"/>
  <c r="O5" i="6"/>
  <c r="K5" i="6"/>
  <c r="G5" i="6"/>
  <c r="AW7" i="18"/>
  <c r="AW12" i="18" s="1"/>
  <c r="AS7" i="18"/>
  <c r="AS12" i="18" s="1"/>
  <c r="AO7" i="18"/>
  <c r="AO12" i="18" s="1"/>
  <c r="AK7" i="18"/>
  <c r="AK12" i="18" s="1"/>
  <c r="AG7" i="18"/>
  <c r="AC7" i="18"/>
  <c r="Y7" i="18"/>
  <c r="U7" i="18"/>
  <c r="Q7" i="18"/>
  <c r="M7" i="18"/>
  <c r="I7" i="18"/>
  <c r="AZ7" i="18"/>
  <c r="AZ12" i="18" s="1"/>
  <c r="AV7" i="18"/>
  <c r="AV12" i="18" s="1"/>
  <c r="AR7" i="18"/>
  <c r="AR12" i="18" s="1"/>
  <c r="AN7" i="18"/>
  <c r="AN12" i="18" s="1"/>
  <c r="AJ7" i="18"/>
  <c r="AJ12" i="18" s="1"/>
  <c r="AF7" i="18"/>
  <c r="AB7" i="18"/>
  <c r="X7" i="18"/>
  <c r="T7" i="18"/>
  <c r="P7" i="18"/>
  <c r="L7" i="18"/>
  <c r="H7" i="18"/>
  <c r="AY7" i="18"/>
  <c r="AY12" i="18" s="1"/>
  <c r="AU7" i="18"/>
  <c r="AU12" i="18" s="1"/>
  <c r="AQ7" i="18"/>
  <c r="AQ12" i="18" s="1"/>
  <c r="AM7" i="18"/>
  <c r="AM12" i="18" s="1"/>
  <c r="AI7" i="18"/>
  <c r="AI12" i="18" s="1"/>
  <c r="AE7" i="18"/>
  <c r="AA7" i="18"/>
  <c r="W7" i="18"/>
  <c r="S7" i="18"/>
  <c r="O7" i="18"/>
  <c r="K7" i="18"/>
  <c r="AX7" i="18"/>
  <c r="AX12" i="18" s="1"/>
  <c r="AT7" i="18"/>
  <c r="AT12" i="18" s="1"/>
  <c r="AP7" i="18"/>
  <c r="AP12" i="18" s="1"/>
  <c r="AL7" i="18"/>
  <c r="AL12" i="18" s="1"/>
  <c r="AH7" i="18"/>
  <c r="AH12" i="18" s="1"/>
  <c r="AD7" i="18"/>
  <c r="Z7" i="18"/>
  <c r="V7" i="18"/>
  <c r="R7" i="18"/>
  <c r="N7" i="18"/>
  <c r="J7" i="18"/>
  <c r="AX5" i="5"/>
  <c r="AT5" i="5"/>
  <c r="AP5" i="5"/>
  <c r="AL5" i="5"/>
  <c r="AH5" i="5"/>
  <c r="AD5" i="5"/>
  <c r="Z5" i="5"/>
  <c r="V5" i="5"/>
  <c r="R5" i="5"/>
  <c r="N5" i="5"/>
  <c r="J5" i="5"/>
  <c r="F5" i="5"/>
  <c r="AW5" i="5"/>
  <c r="AS5" i="5"/>
  <c r="AO5" i="5"/>
  <c r="AK5" i="5"/>
  <c r="AG5" i="5"/>
  <c r="AC5" i="5"/>
  <c r="Y5" i="5"/>
  <c r="U5" i="5"/>
  <c r="Q5" i="5"/>
  <c r="M5" i="5"/>
  <c r="I5" i="5"/>
  <c r="E5" i="5"/>
  <c r="AV5" i="5"/>
  <c r="AR5" i="5"/>
  <c r="AN5" i="5"/>
  <c r="AJ5" i="5"/>
  <c r="AF5" i="5"/>
  <c r="AB5" i="5"/>
  <c r="X5" i="5"/>
  <c r="T5" i="5"/>
  <c r="P5" i="5"/>
  <c r="L5" i="5"/>
  <c r="H5" i="5"/>
  <c r="D5" i="5"/>
  <c r="AY5" i="5"/>
  <c r="AU5" i="5"/>
  <c r="AQ5" i="5"/>
  <c r="AM5" i="5"/>
  <c r="AI5" i="5"/>
  <c r="AE5" i="5"/>
  <c r="AA5" i="5"/>
  <c r="W5" i="5"/>
  <c r="S5" i="5"/>
  <c r="O5" i="5"/>
  <c r="K5" i="5"/>
  <c r="G5" i="5"/>
  <c r="C5" i="5"/>
  <c r="C18" i="13"/>
  <c r="D46" i="13"/>
  <c r="D9" i="3" s="1"/>
  <c r="AI64" i="3"/>
  <c r="AJ64" i="3"/>
  <c r="AK64" i="3"/>
  <c r="AM63" i="3"/>
  <c r="AN63" i="3"/>
  <c r="AO63" i="3"/>
  <c r="AU63" i="3"/>
  <c r="AY63" i="3"/>
  <c r="AZ63" i="3"/>
  <c r="AT14" i="18"/>
  <c r="AT6" i="6" l="1"/>
  <c r="AT7" i="6" s="1"/>
  <c r="AG6" i="6"/>
  <c r="AG7" i="6" s="1"/>
  <c r="AO6" i="6"/>
  <c r="AO7" i="6" s="1"/>
  <c r="AW6" i="6"/>
  <c r="AW7" i="6" s="1"/>
  <c r="K8" i="7"/>
  <c r="K9" i="7" s="1"/>
  <c r="S8" i="7"/>
  <c r="S9" i="7" s="1"/>
  <c r="AA8" i="7"/>
  <c r="AA9" i="7" s="1"/>
  <c r="AI8" i="7"/>
  <c r="AI9" i="7" s="1"/>
  <c r="AQ8" i="7"/>
  <c r="AQ9" i="7" s="1"/>
  <c r="AY8" i="7"/>
  <c r="AY9" i="7" s="1"/>
  <c r="M8" i="7"/>
  <c r="M9" i="7" s="1"/>
  <c r="U8" i="7"/>
  <c r="U9" i="7" s="1"/>
  <c r="AC8" i="7"/>
  <c r="AC9" i="7" s="1"/>
  <c r="AK8" i="7"/>
  <c r="AK9" i="7" s="1"/>
  <c r="AS8" i="7"/>
  <c r="AS9" i="7" s="1"/>
  <c r="J8" i="7"/>
  <c r="J9" i="7" s="1"/>
  <c r="R8" i="7"/>
  <c r="R9" i="7" s="1"/>
  <c r="Z8" i="7"/>
  <c r="Z9" i="7" s="1"/>
  <c r="AH8" i="7"/>
  <c r="AH9" i="7" s="1"/>
  <c r="AP8" i="7"/>
  <c r="AP9" i="7" s="1"/>
  <c r="AX8" i="7"/>
  <c r="AX9" i="7" s="1"/>
  <c r="G8" i="7"/>
  <c r="G9" i="7" s="1"/>
  <c r="O8" i="7"/>
  <c r="O9" i="7" s="1"/>
  <c r="W8" i="7"/>
  <c r="W9" i="7" s="1"/>
  <c r="AE8" i="7"/>
  <c r="AM8" i="7"/>
  <c r="AM9" i="7" s="1"/>
  <c r="AU8" i="7"/>
  <c r="AU9" i="7" s="1"/>
  <c r="I8" i="7"/>
  <c r="I9" i="7" s="1"/>
  <c r="Q8" i="7"/>
  <c r="Q9" i="7" s="1"/>
  <c r="Y8" i="7"/>
  <c r="Y9" i="7" s="1"/>
  <c r="AG8" i="7"/>
  <c r="AG9" i="7" s="1"/>
  <c r="AO8" i="7"/>
  <c r="AO9" i="7" s="1"/>
  <c r="AW8" i="7"/>
  <c r="AW9" i="7" s="1"/>
  <c r="N8" i="7"/>
  <c r="N9" i="7" s="1"/>
  <c r="V8" i="7"/>
  <c r="V9" i="7" s="1"/>
  <c r="AD8" i="7"/>
  <c r="AD9" i="7" s="1"/>
  <c r="AL8" i="7"/>
  <c r="AL9" i="7" s="1"/>
  <c r="AT8" i="7"/>
  <c r="AT9" i="7" s="1"/>
  <c r="H9" i="7"/>
  <c r="P9" i="7"/>
  <c r="X9" i="7"/>
  <c r="AF9" i="7"/>
  <c r="AN9" i="7"/>
  <c r="AV9" i="7"/>
  <c r="AE9" i="7"/>
  <c r="L9" i="7"/>
  <c r="T9" i="7"/>
  <c r="AB9" i="7"/>
  <c r="AJ9" i="7"/>
  <c r="AR9" i="7"/>
  <c r="AZ9" i="7"/>
  <c r="B4" i="21"/>
  <c r="F5" i="21" s="1"/>
  <c r="C13" i="7"/>
  <c r="P14" i="21"/>
  <c r="P15" i="21" s="1"/>
  <c r="K13" i="21"/>
  <c r="J13" i="21"/>
  <c r="M13" i="21"/>
  <c r="L13" i="21"/>
  <c r="N13" i="21"/>
  <c r="E7" i="21"/>
  <c r="F7" i="21"/>
  <c r="G7" i="21"/>
  <c r="H7" i="21"/>
  <c r="D7" i="21"/>
  <c r="F9" i="21"/>
  <c r="G9" i="21"/>
  <c r="J9" i="21"/>
  <c r="H9" i="21"/>
  <c r="I9" i="21"/>
  <c r="H10" i="21"/>
  <c r="G10" i="21"/>
  <c r="J10" i="21"/>
  <c r="I10" i="21"/>
  <c r="K10" i="21"/>
  <c r="I11" i="21"/>
  <c r="H11" i="21"/>
  <c r="L11" i="21"/>
  <c r="K11" i="21"/>
  <c r="J11" i="21"/>
  <c r="E8" i="21"/>
  <c r="F8" i="21"/>
  <c r="H8" i="21"/>
  <c r="G8" i="21"/>
  <c r="I8" i="21"/>
  <c r="E6" i="21"/>
  <c r="D6" i="21"/>
  <c r="G6" i="21"/>
  <c r="F6" i="21"/>
  <c r="C6" i="21"/>
  <c r="L14" i="21"/>
  <c r="K14" i="21"/>
  <c r="O14" i="21"/>
  <c r="O15" i="21" s="1"/>
  <c r="P29" i="13" s="1"/>
  <c r="P28" i="13" s="1"/>
  <c r="N14" i="21"/>
  <c r="M14" i="21"/>
  <c r="J12" i="21"/>
  <c r="I12" i="21"/>
  <c r="K12" i="21"/>
  <c r="M12" i="21"/>
  <c r="L12" i="21"/>
  <c r="AZ6" i="6"/>
  <c r="AZ7" i="6" s="1"/>
  <c r="AV6" i="6"/>
  <c r="AV7" i="6" s="1"/>
  <c r="C7" i="3"/>
  <c r="C46" i="13"/>
  <c r="AN6" i="6"/>
  <c r="AZ79" i="7"/>
  <c r="AZ83" i="7"/>
  <c r="AZ89" i="7"/>
  <c r="AZ78" i="7"/>
  <c r="AZ77" i="7"/>
  <c r="AZ81" i="7"/>
  <c r="AZ85" i="7"/>
  <c r="AZ91" i="7"/>
  <c r="AZ76" i="7"/>
  <c r="AZ80" i="7"/>
  <c r="AZ84" i="7"/>
  <c r="AZ93" i="7"/>
  <c r="AZ97" i="7"/>
  <c r="AZ101" i="7"/>
  <c r="AZ92" i="7"/>
  <c r="AZ96" i="7"/>
  <c r="AZ100" i="7"/>
  <c r="AZ90" i="7"/>
  <c r="AZ95" i="7"/>
  <c r="AZ99" i="7"/>
  <c r="AZ88" i="7"/>
  <c r="AZ94" i="7"/>
  <c r="AZ98" i="7"/>
  <c r="AZ102" i="7"/>
  <c r="AZ82" i="7"/>
  <c r="AV76" i="7"/>
  <c r="AV80" i="7"/>
  <c r="AV84" i="7"/>
  <c r="AV90" i="7"/>
  <c r="AV78" i="7"/>
  <c r="AV82" i="7"/>
  <c r="AV88" i="7"/>
  <c r="AV92" i="7"/>
  <c r="AV77" i="7"/>
  <c r="AV81" i="7"/>
  <c r="AV85" i="7"/>
  <c r="AV83" i="7"/>
  <c r="AV98" i="7"/>
  <c r="AV102" i="7"/>
  <c r="AV79" i="7"/>
  <c r="AV89" i="7"/>
  <c r="AV94" i="7"/>
  <c r="AV97" i="7"/>
  <c r="AV101" i="7"/>
  <c r="AV93" i="7"/>
  <c r="AV96" i="7"/>
  <c r="AV100" i="7"/>
  <c r="AV95" i="7"/>
  <c r="AV99" i="7"/>
  <c r="AV91" i="7"/>
  <c r="AR77" i="7"/>
  <c r="AR81" i="7"/>
  <c r="AR85" i="7"/>
  <c r="AR91" i="7"/>
  <c r="AR76" i="7"/>
  <c r="AR79" i="7"/>
  <c r="AR83" i="7"/>
  <c r="AR89" i="7"/>
  <c r="AR93" i="7"/>
  <c r="AR78" i="7"/>
  <c r="AR82" i="7"/>
  <c r="AR88" i="7"/>
  <c r="AR95" i="7"/>
  <c r="AR98" i="7"/>
  <c r="AR102" i="7"/>
  <c r="AR84" i="7"/>
  <c r="AR97" i="7"/>
  <c r="AR101" i="7"/>
  <c r="AR80" i="7"/>
  <c r="AR90" i="7"/>
  <c r="AR94" i="7"/>
  <c r="AR96" i="7"/>
  <c r="AR100" i="7"/>
  <c r="AR92" i="7"/>
  <c r="AR99" i="7"/>
  <c r="AN78" i="7"/>
  <c r="AN82" i="7"/>
  <c r="AN88" i="7"/>
  <c r="AN77" i="7"/>
  <c r="AN76" i="7"/>
  <c r="AN80" i="7"/>
  <c r="AN84" i="7"/>
  <c r="AN90" i="7"/>
  <c r="AN94" i="7"/>
  <c r="AN79" i="7"/>
  <c r="AN83" i="7"/>
  <c r="AN100" i="7"/>
  <c r="AN85" i="7"/>
  <c r="AN91" i="7"/>
  <c r="AN93" i="7"/>
  <c r="AN95" i="7"/>
  <c r="AN99" i="7"/>
  <c r="AN81" i="7"/>
  <c r="AN89" i="7"/>
  <c r="AN92" i="7"/>
  <c r="AN98" i="7"/>
  <c r="AN102" i="7"/>
  <c r="AN97" i="7"/>
  <c r="AN101" i="7"/>
  <c r="AN96" i="7"/>
  <c r="AJ79" i="7"/>
  <c r="AJ83" i="7"/>
  <c r="AJ89" i="7"/>
  <c r="AJ78" i="7"/>
  <c r="AJ77" i="7"/>
  <c r="AJ81" i="7"/>
  <c r="AJ85" i="7"/>
  <c r="AJ91" i="7"/>
  <c r="AJ76" i="7"/>
  <c r="AJ80" i="7"/>
  <c r="AJ84" i="7"/>
  <c r="AJ98" i="7"/>
  <c r="AJ92" i="7"/>
  <c r="AJ82" i="7"/>
  <c r="AJ96" i="7"/>
  <c r="AJ100" i="7"/>
  <c r="AJ94" i="7"/>
  <c r="AJ95" i="7"/>
  <c r="AJ99" i="7"/>
  <c r="AJ93" i="7"/>
  <c r="AJ102" i="7"/>
  <c r="AJ88" i="7"/>
  <c r="AJ90" i="7"/>
  <c r="AJ97" i="7"/>
  <c r="AJ101" i="7"/>
  <c r="AY78" i="7"/>
  <c r="AY82" i="7"/>
  <c r="AY88" i="7"/>
  <c r="AY77" i="7"/>
  <c r="AY76" i="7"/>
  <c r="AY80" i="7"/>
  <c r="AY84" i="7"/>
  <c r="AY90" i="7"/>
  <c r="AY94" i="7"/>
  <c r="AY95" i="7"/>
  <c r="AY96" i="7"/>
  <c r="AY97" i="7"/>
  <c r="AY98" i="7"/>
  <c r="AY99" i="7"/>
  <c r="AY100" i="7"/>
  <c r="AY101" i="7"/>
  <c r="AY102" i="7"/>
  <c r="AY79" i="7"/>
  <c r="AY83" i="7"/>
  <c r="AY93" i="7"/>
  <c r="AY81" i="7"/>
  <c r="AY92" i="7"/>
  <c r="AY91" i="7"/>
  <c r="AY89" i="7"/>
  <c r="AY85" i="7"/>
  <c r="AU79" i="7"/>
  <c r="AU83" i="7"/>
  <c r="AU89" i="7"/>
  <c r="AU78" i="7"/>
  <c r="AU77" i="7"/>
  <c r="AU81" i="7"/>
  <c r="AU85" i="7"/>
  <c r="AU91" i="7"/>
  <c r="AU95" i="7"/>
  <c r="AU96" i="7"/>
  <c r="AU97" i="7"/>
  <c r="AU98" i="7"/>
  <c r="AU99" i="7"/>
  <c r="AU100" i="7"/>
  <c r="AU101" i="7"/>
  <c r="AU102" i="7"/>
  <c r="AU76" i="7"/>
  <c r="AU80" i="7"/>
  <c r="AU84" i="7"/>
  <c r="AU94" i="7"/>
  <c r="AU93" i="7"/>
  <c r="AU88" i="7"/>
  <c r="AU92" i="7"/>
  <c r="AU82" i="7"/>
  <c r="AU90" i="7"/>
  <c r="AQ76" i="7"/>
  <c r="AQ80" i="7"/>
  <c r="AQ84" i="7"/>
  <c r="AQ90" i="7"/>
  <c r="AQ78" i="7"/>
  <c r="AQ82" i="7"/>
  <c r="AQ88" i="7"/>
  <c r="AQ92" i="7"/>
  <c r="AQ95" i="7"/>
  <c r="AQ96" i="7"/>
  <c r="AQ97" i="7"/>
  <c r="AQ98" i="7"/>
  <c r="AQ99" i="7"/>
  <c r="AQ100" i="7"/>
  <c r="AQ101" i="7"/>
  <c r="AQ102" i="7"/>
  <c r="AQ77" i="7"/>
  <c r="AQ81" i="7"/>
  <c r="AQ85" i="7"/>
  <c r="AQ79" i="7"/>
  <c r="AQ89" i="7"/>
  <c r="AQ83" i="7"/>
  <c r="AQ91" i="7"/>
  <c r="AQ94" i="7"/>
  <c r="AQ93" i="7"/>
  <c r="AM77" i="7"/>
  <c r="AM81" i="7"/>
  <c r="AM85" i="7"/>
  <c r="AM91" i="7"/>
  <c r="AM76" i="7"/>
  <c r="AM79" i="7"/>
  <c r="AM83" i="7"/>
  <c r="AM89" i="7"/>
  <c r="AM93" i="7"/>
  <c r="AM95" i="7"/>
  <c r="AM96" i="7"/>
  <c r="AM97" i="7"/>
  <c r="AM98" i="7"/>
  <c r="AM99" i="7"/>
  <c r="AM100" i="7"/>
  <c r="AM101" i="7"/>
  <c r="AM102" i="7"/>
  <c r="AM78" i="7"/>
  <c r="AM82" i="7"/>
  <c r="AM88" i="7"/>
  <c r="AM84" i="7"/>
  <c r="AM90" i="7"/>
  <c r="AM92" i="7"/>
  <c r="AM80" i="7"/>
  <c r="AM94" i="7"/>
  <c r="AI78" i="7"/>
  <c r="AI82" i="7"/>
  <c r="AI88" i="7"/>
  <c r="AI77" i="7"/>
  <c r="AI76" i="7"/>
  <c r="AI80" i="7"/>
  <c r="AI84" i="7"/>
  <c r="AI90" i="7"/>
  <c r="AI94" i="7"/>
  <c r="AI95" i="7"/>
  <c r="AI96" i="7"/>
  <c r="AI97" i="7"/>
  <c r="AI98" i="7"/>
  <c r="AI99" i="7"/>
  <c r="AI100" i="7"/>
  <c r="AI101" i="7"/>
  <c r="AI102" i="7"/>
  <c r="AI79" i="7"/>
  <c r="AI83" i="7"/>
  <c r="AI92" i="7"/>
  <c r="AI89" i="7"/>
  <c r="AI81" i="7"/>
  <c r="AI93" i="7"/>
  <c r="AI91" i="7"/>
  <c r="AI85" i="7"/>
  <c r="AX76" i="7"/>
  <c r="AX77" i="7"/>
  <c r="AX78" i="7"/>
  <c r="AX79" i="7"/>
  <c r="AX80" i="7"/>
  <c r="AX81" i="7"/>
  <c r="AX82" i="7"/>
  <c r="AX83" i="7"/>
  <c r="AX84" i="7"/>
  <c r="AX85" i="7"/>
  <c r="AX88" i="7"/>
  <c r="AX89" i="7"/>
  <c r="AX90" i="7"/>
  <c r="AX91" i="7"/>
  <c r="AX92" i="7"/>
  <c r="AX93" i="7"/>
  <c r="AX94" i="7"/>
  <c r="AX101" i="7"/>
  <c r="AX96" i="7"/>
  <c r="AX95" i="7"/>
  <c r="AX99" i="7"/>
  <c r="AX98" i="7"/>
  <c r="AX102" i="7"/>
  <c r="AX97" i="7"/>
  <c r="AX100" i="7"/>
  <c r="AT76" i="7"/>
  <c r="AT77" i="7"/>
  <c r="AT78" i="7"/>
  <c r="AT79" i="7"/>
  <c r="AT80" i="7"/>
  <c r="AT81" i="7"/>
  <c r="AT82" i="7"/>
  <c r="AT83" i="7"/>
  <c r="AT84" i="7"/>
  <c r="AT85" i="7"/>
  <c r="AT88" i="7"/>
  <c r="AT89" i="7"/>
  <c r="AT90" i="7"/>
  <c r="AT91" i="7"/>
  <c r="AT92" i="7"/>
  <c r="AT93" i="7"/>
  <c r="AT94" i="7"/>
  <c r="AT101" i="7"/>
  <c r="AT102" i="7"/>
  <c r="AT96" i="7"/>
  <c r="AT100" i="7"/>
  <c r="AT95" i="7"/>
  <c r="AT99" i="7"/>
  <c r="AT98" i="7"/>
  <c r="AT97" i="7"/>
  <c r="AP76" i="7"/>
  <c r="AP77" i="7"/>
  <c r="AP78" i="7"/>
  <c r="AP79" i="7"/>
  <c r="AP80" i="7"/>
  <c r="AP81" i="7"/>
  <c r="AP82" i="7"/>
  <c r="AP83" i="7"/>
  <c r="AP84" i="7"/>
  <c r="AP85" i="7"/>
  <c r="AP88" i="7"/>
  <c r="AP89" i="7"/>
  <c r="AP90" i="7"/>
  <c r="AP91" i="7"/>
  <c r="AP92" i="7"/>
  <c r="AP93" i="7"/>
  <c r="AP94" i="7"/>
  <c r="AP95" i="7"/>
  <c r="AP98" i="7"/>
  <c r="AP102" i="7"/>
  <c r="AP97" i="7"/>
  <c r="AP101" i="7"/>
  <c r="AP96" i="7"/>
  <c r="AP100" i="7"/>
  <c r="AP99" i="7"/>
  <c r="AL76" i="7"/>
  <c r="AL77" i="7"/>
  <c r="AL78" i="7"/>
  <c r="AL79" i="7"/>
  <c r="AL80" i="7"/>
  <c r="AL81" i="7"/>
  <c r="AL82" i="7"/>
  <c r="AL83" i="7"/>
  <c r="AL84" i="7"/>
  <c r="AL85" i="7"/>
  <c r="AL88" i="7"/>
  <c r="AL89" i="7"/>
  <c r="AL90" i="7"/>
  <c r="AL91" i="7"/>
  <c r="AL92" i="7"/>
  <c r="AL93" i="7"/>
  <c r="AL94" i="7"/>
  <c r="AL99" i="7"/>
  <c r="AL98" i="7"/>
  <c r="AL102" i="7"/>
  <c r="AL97" i="7"/>
  <c r="AL101" i="7"/>
  <c r="AL96" i="7"/>
  <c r="AL100" i="7"/>
  <c r="AL95" i="7"/>
  <c r="AH76" i="7"/>
  <c r="AH77" i="7"/>
  <c r="AH78" i="7"/>
  <c r="AH79" i="7"/>
  <c r="AH80" i="7"/>
  <c r="AH81" i="7"/>
  <c r="AH82" i="7"/>
  <c r="AH83" i="7"/>
  <c r="AH84" i="7"/>
  <c r="AH85" i="7"/>
  <c r="AH88" i="7"/>
  <c r="AH89" i="7"/>
  <c r="AH90" i="7"/>
  <c r="AH91" i="7"/>
  <c r="AH92" i="7"/>
  <c r="AH93" i="7"/>
  <c r="AH94" i="7"/>
  <c r="AH101" i="7"/>
  <c r="AH96" i="7"/>
  <c r="AH95" i="7"/>
  <c r="AH99" i="7"/>
  <c r="AH98" i="7"/>
  <c r="AH102" i="7"/>
  <c r="AH97" i="7"/>
  <c r="AH100" i="7"/>
  <c r="AW82" i="7"/>
  <c r="AW77" i="7"/>
  <c r="AW81" i="7"/>
  <c r="AW85" i="7"/>
  <c r="AW91" i="7"/>
  <c r="AW76" i="7"/>
  <c r="AW79" i="7"/>
  <c r="AW83" i="7"/>
  <c r="AW89" i="7"/>
  <c r="AW93" i="7"/>
  <c r="AW78" i="7"/>
  <c r="AW88" i="7"/>
  <c r="AW96" i="7"/>
  <c r="AW99" i="7"/>
  <c r="AW90" i="7"/>
  <c r="AW98" i="7"/>
  <c r="AW102" i="7"/>
  <c r="AW94" i="7"/>
  <c r="AW97" i="7"/>
  <c r="AW101" i="7"/>
  <c r="AW84" i="7"/>
  <c r="AW92" i="7"/>
  <c r="AW100" i="7"/>
  <c r="AW80" i="7"/>
  <c r="AW95" i="7"/>
  <c r="AS78" i="7"/>
  <c r="AS82" i="7"/>
  <c r="AS88" i="7"/>
  <c r="AS77" i="7"/>
  <c r="AS76" i="7"/>
  <c r="AS80" i="7"/>
  <c r="AS84" i="7"/>
  <c r="AS90" i="7"/>
  <c r="AS94" i="7"/>
  <c r="AS79" i="7"/>
  <c r="AS83" i="7"/>
  <c r="AS81" i="7"/>
  <c r="AS100" i="7"/>
  <c r="AS96" i="7"/>
  <c r="AS92" i="7"/>
  <c r="AS95" i="7"/>
  <c r="AS99" i="7"/>
  <c r="AS85" i="7"/>
  <c r="AS98" i="7"/>
  <c r="AS102" i="7"/>
  <c r="AS91" i="7"/>
  <c r="AS97" i="7"/>
  <c r="AS101" i="7"/>
  <c r="AS89" i="7"/>
  <c r="AS93" i="7"/>
  <c r="AO79" i="7"/>
  <c r="AO83" i="7"/>
  <c r="AO89" i="7"/>
  <c r="AO78" i="7"/>
  <c r="AO77" i="7"/>
  <c r="AO81" i="7"/>
  <c r="AO85" i="7"/>
  <c r="AO91" i="7"/>
  <c r="AO76" i="7"/>
  <c r="AO80" i="7"/>
  <c r="AO84" i="7"/>
  <c r="AO97" i="7"/>
  <c r="AO101" i="7"/>
  <c r="AO88" i="7"/>
  <c r="AO94" i="7"/>
  <c r="AO96" i="7"/>
  <c r="AO100" i="7"/>
  <c r="AO82" i="7"/>
  <c r="AO90" i="7"/>
  <c r="AO93" i="7"/>
  <c r="AO95" i="7"/>
  <c r="AO99" i="7"/>
  <c r="AO92" i="7"/>
  <c r="AO98" i="7"/>
  <c r="AO102" i="7"/>
  <c r="AK76" i="7"/>
  <c r="AK80" i="7"/>
  <c r="AK84" i="7"/>
  <c r="AK90" i="7"/>
  <c r="AK78" i="7"/>
  <c r="AK82" i="7"/>
  <c r="AK88" i="7"/>
  <c r="AK92" i="7"/>
  <c r="AK77" i="7"/>
  <c r="AK81" i="7"/>
  <c r="AK85" i="7"/>
  <c r="AK99" i="7"/>
  <c r="AK93" i="7"/>
  <c r="AK91" i="7"/>
  <c r="AK83" i="7"/>
  <c r="AK89" i="7"/>
  <c r="AK97" i="7"/>
  <c r="AK101" i="7"/>
  <c r="AK79" i="7"/>
  <c r="AK96" i="7"/>
  <c r="AK100" i="7"/>
  <c r="AK94" i="7"/>
  <c r="AK95" i="7"/>
  <c r="AK98" i="7"/>
  <c r="AK102" i="7"/>
  <c r="AG77" i="7"/>
  <c r="AG81" i="7"/>
  <c r="AG85" i="7"/>
  <c r="AG91" i="7"/>
  <c r="AG76" i="7"/>
  <c r="AG79" i="7"/>
  <c r="AG83" i="7"/>
  <c r="AG89" i="7"/>
  <c r="AG93" i="7"/>
  <c r="AG78" i="7"/>
  <c r="AG82" i="7"/>
  <c r="AG88" i="7"/>
  <c r="AG100" i="7"/>
  <c r="AG95" i="7"/>
  <c r="AG84" i="7"/>
  <c r="AG80" i="7"/>
  <c r="AG94" i="7"/>
  <c r="AG98" i="7"/>
  <c r="AG102" i="7"/>
  <c r="AG92" i="7"/>
  <c r="AG97" i="7"/>
  <c r="AG101" i="7"/>
  <c r="AG90" i="7"/>
  <c r="AG96" i="7"/>
  <c r="AG99" i="7"/>
  <c r="AR6" i="6"/>
  <c r="AR7" i="6" s="1"/>
  <c r="AH6" i="6"/>
  <c r="AH7" i="6" s="1"/>
  <c r="AP6" i="6"/>
  <c r="AP7" i="6" s="1"/>
  <c r="AK6" i="6"/>
  <c r="AK7" i="6" s="1"/>
  <c r="AS6" i="6"/>
  <c r="AS7" i="6" s="1"/>
  <c r="AX6" i="6"/>
  <c r="AX7" i="6" s="1"/>
  <c r="AL6" i="6"/>
  <c r="AL7" i="6" s="1"/>
  <c r="AX47" i="3"/>
  <c r="AX48" i="3"/>
  <c r="AX49" i="3"/>
  <c r="AX50" i="3"/>
  <c r="AX51" i="3"/>
  <c r="AX52" i="3"/>
  <c r="AX53" i="3"/>
  <c r="AX54" i="3"/>
  <c r="AX55" i="3"/>
  <c r="AX56" i="3"/>
  <c r="AX59" i="3"/>
  <c r="AX60" i="3"/>
  <c r="AX61" i="3"/>
  <c r="AX62" i="3"/>
  <c r="AX63" i="3"/>
  <c r="AT47" i="3"/>
  <c r="AT48" i="3"/>
  <c r="AT49" i="3"/>
  <c r="AT50" i="3"/>
  <c r="AT51" i="3"/>
  <c r="AT52" i="3"/>
  <c r="AT53" i="3"/>
  <c r="AT54" i="3"/>
  <c r="AT55" i="3"/>
  <c r="AT56" i="3"/>
  <c r="AT59" i="3"/>
  <c r="AT60" i="3"/>
  <c r="AT61" i="3"/>
  <c r="AT62" i="3"/>
  <c r="AT63" i="3"/>
  <c r="AP47" i="3"/>
  <c r="AP48" i="3"/>
  <c r="AP49" i="3"/>
  <c r="AP50" i="3"/>
  <c r="AP51" i="3"/>
  <c r="AP52" i="3"/>
  <c r="AP53" i="3"/>
  <c r="AP54" i="3"/>
  <c r="AP55" i="3"/>
  <c r="AP56" i="3"/>
  <c r="AP59" i="3"/>
  <c r="AP60" i="3"/>
  <c r="AP61" i="3"/>
  <c r="AP62" i="3"/>
  <c r="AP63" i="3"/>
  <c r="AL47" i="3"/>
  <c r="AL48" i="3"/>
  <c r="AL49" i="3"/>
  <c r="AL50" i="3"/>
  <c r="AL51" i="3"/>
  <c r="AL52" i="3"/>
  <c r="AL53" i="3"/>
  <c r="AL54" i="3"/>
  <c r="AL55" i="3"/>
  <c r="AL56" i="3"/>
  <c r="AL59" i="3"/>
  <c r="AL60" i="3"/>
  <c r="AL61" i="3"/>
  <c r="AL62" i="3"/>
  <c r="AL63" i="3"/>
  <c r="AL64" i="3"/>
  <c r="AH47" i="3"/>
  <c r="AH48" i="3"/>
  <c r="AH49" i="3"/>
  <c r="AH50" i="3"/>
  <c r="AH51" i="3"/>
  <c r="AH52" i="3"/>
  <c r="AH53" i="3"/>
  <c r="AH54" i="3"/>
  <c r="AH55" i="3"/>
  <c r="AH56" i="3"/>
  <c r="AH59" i="3"/>
  <c r="AH60" i="3"/>
  <c r="AH61" i="3"/>
  <c r="AH62" i="3"/>
  <c r="AH63" i="3"/>
  <c r="AH64" i="3"/>
  <c r="AX73" i="3"/>
  <c r="AT73" i="3"/>
  <c r="AP73" i="3"/>
  <c r="AL73" i="3"/>
  <c r="AH73" i="3"/>
  <c r="AX72" i="3"/>
  <c r="AT72" i="3"/>
  <c r="AP72" i="3"/>
  <c r="AL72" i="3"/>
  <c r="AH72" i="3"/>
  <c r="AX71" i="3"/>
  <c r="AT71" i="3"/>
  <c r="AP71" i="3"/>
  <c r="AL71" i="3"/>
  <c r="AH71" i="3"/>
  <c r="AX70" i="3"/>
  <c r="AT70" i="3"/>
  <c r="AP70" i="3"/>
  <c r="AL70" i="3"/>
  <c r="AH70" i="3"/>
  <c r="AX69" i="3"/>
  <c r="AT69" i="3"/>
  <c r="AP69" i="3"/>
  <c r="AL69" i="3"/>
  <c r="AH69" i="3"/>
  <c r="AX68" i="3"/>
  <c r="AT68" i="3"/>
  <c r="AP68" i="3"/>
  <c r="AL68" i="3"/>
  <c r="AH68" i="3"/>
  <c r="AX67" i="3"/>
  <c r="AT67" i="3"/>
  <c r="AP67" i="3"/>
  <c r="AL67" i="3"/>
  <c r="AH67" i="3"/>
  <c r="AX66" i="3"/>
  <c r="AT66" i="3"/>
  <c r="AP66" i="3"/>
  <c r="AL66" i="3"/>
  <c r="AH66" i="3"/>
  <c r="AX65" i="3"/>
  <c r="AT65" i="3"/>
  <c r="AP65" i="3"/>
  <c r="AL65" i="3"/>
  <c r="AH65" i="3"/>
  <c r="AX64" i="3"/>
  <c r="AT64" i="3"/>
  <c r="AP64" i="3"/>
  <c r="AJ63" i="3"/>
  <c r="AW47" i="3"/>
  <c r="AW48" i="3"/>
  <c r="AW49" i="3"/>
  <c r="AW50" i="3"/>
  <c r="AW51" i="3"/>
  <c r="AW52" i="3"/>
  <c r="AW53" i="3"/>
  <c r="AW54" i="3"/>
  <c r="AW55" i="3"/>
  <c r="AW56" i="3"/>
  <c r="AW59" i="3"/>
  <c r="AW60" i="3"/>
  <c r="AW61" i="3"/>
  <c r="AW62" i="3"/>
  <c r="AS47" i="3"/>
  <c r="AS48" i="3"/>
  <c r="AS49" i="3"/>
  <c r="AS50" i="3"/>
  <c r="AS51" i="3"/>
  <c r="AS52" i="3"/>
  <c r="AS53" i="3"/>
  <c r="AS54" i="3"/>
  <c r="AS55" i="3"/>
  <c r="AS56" i="3"/>
  <c r="AS59" i="3"/>
  <c r="AS60" i="3"/>
  <c r="AS61" i="3"/>
  <c r="AS62" i="3"/>
  <c r="AO47" i="3"/>
  <c r="AO48" i="3"/>
  <c r="AO49" i="3"/>
  <c r="AO50" i="3"/>
  <c r="AO51" i="3"/>
  <c r="AO52" i="3"/>
  <c r="AO53" i="3"/>
  <c r="AO54" i="3"/>
  <c r="AO55" i="3"/>
  <c r="AO56" i="3"/>
  <c r="AO59" i="3"/>
  <c r="AO60" i="3"/>
  <c r="AO61" i="3"/>
  <c r="AO62" i="3"/>
  <c r="AK47" i="3"/>
  <c r="AK48" i="3"/>
  <c r="AK49" i="3"/>
  <c r="AK50" i="3"/>
  <c r="AK51" i="3"/>
  <c r="AK52" i="3"/>
  <c r="AK53" i="3"/>
  <c r="AK54" i="3"/>
  <c r="AK55" i="3"/>
  <c r="AK56" i="3"/>
  <c r="AK59" i="3"/>
  <c r="AK60" i="3"/>
  <c r="AK61" i="3"/>
  <c r="AK62" i="3"/>
  <c r="AG47" i="3"/>
  <c r="AG48" i="3"/>
  <c r="AG49" i="3"/>
  <c r="AG50" i="3"/>
  <c r="AG51" i="3"/>
  <c r="AG52" i="3"/>
  <c r="AG53" i="3"/>
  <c r="AG54" i="3"/>
  <c r="AG55" i="3"/>
  <c r="AG56" i="3"/>
  <c r="AG59" i="3"/>
  <c r="AG60" i="3"/>
  <c r="AG61" i="3"/>
  <c r="AG62" i="3"/>
  <c r="AW73" i="3"/>
  <c r="AS73" i="3"/>
  <c r="AO73" i="3"/>
  <c r="AK73" i="3"/>
  <c r="AG73" i="3"/>
  <c r="AW72" i="3"/>
  <c r="AS72" i="3"/>
  <c r="AO72" i="3"/>
  <c r="AK72" i="3"/>
  <c r="AG72" i="3"/>
  <c r="AW71" i="3"/>
  <c r="AS71" i="3"/>
  <c r="AO71" i="3"/>
  <c r="AK71" i="3"/>
  <c r="AG71" i="3"/>
  <c r="AW70" i="3"/>
  <c r="AS70" i="3"/>
  <c r="AO70" i="3"/>
  <c r="AK70" i="3"/>
  <c r="AG70" i="3"/>
  <c r="AW69" i="3"/>
  <c r="AS69" i="3"/>
  <c r="AO69" i="3"/>
  <c r="AK69" i="3"/>
  <c r="AG69" i="3"/>
  <c r="AW68" i="3"/>
  <c r="AS68" i="3"/>
  <c r="AO68" i="3"/>
  <c r="AK68" i="3"/>
  <c r="AG68" i="3"/>
  <c r="AW67" i="3"/>
  <c r="AS67" i="3"/>
  <c r="AO67" i="3"/>
  <c r="AK67" i="3"/>
  <c r="AG67" i="3"/>
  <c r="AW66" i="3"/>
  <c r="AS66" i="3"/>
  <c r="AO66" i="3"/>
  <c r="AK66" i="3"/>
  <c r="AG66" i="3"/>
  <c r="AW65" i="3"/>
  <c r="AS65" i="3"/>
  <c r="AO65" i="3"/>
  <c r="AK65" i="3"/>
  <c r="AG65" i="3"/>
  <c r="AW64" i="3"/>
  <c r="AS64" i="3"/>
  <c r="AO64" i="3"/>
  <c r="AS63" i="3"/>
  <c r="AI63" i="3"/>
  <c r="AZ47" i="3"/>
  <c r="AZ48" i="3"/>
  <c r="AZ49" i="3"/>
  <c r="AZ50" i="3"/>
  <c r="AZ51" i="3"/>
  <c r="AZ52" i="3"/>
  <c r="AZ53" i="3"/>
  <c r="AZ54" i="3"/>
  <c r="AZ55" i="3"/>
  <c r="AZ56" i="3"/>
  <c r="AZ59" i="3"/>
  <c r="AZ60" i="3"/>
  <c r="AZ61" i="3"/>
  <c r="AV47" i="3"/>
  <c r="AV48" i="3"/>
  <c r="AV49" i="3"/>
  <c r="AV50" i="3"/>
  <c r="AV51" i="3"/>
  <c r="AV52" i="3"/>
  <c r="AV53" i="3"/>
  <c r="AV54" i="3"/>
  <c r="AV55" i="3"/>
  <c r="AV56" i="3"/>
  <c r="AV59" i="3"/>
  <c r="AV60" i="3"/>
  <c r="AV61" i="3"/>
  <c r="AV62" i="3"/>
  <c r="AR47" i="3"/>
  <c r="AR48" i="3"/>
  <c r="AR49" i="3"/>
  <c r="AR50" i="3"/>
  <c r="AR51" i="3"/>
  <c r="AR52" i="3"/>
  <c r="AR53" i="3"/>
  <c r="AR54" i="3"/>
  <c r="AR55" i="3"/>
  <c r="AR56" i="3"/>
  <c r="AR59" i="3"/>
  <c r="AR60" i="3"/>
  <c r="AR61" i="3"/>
  <c r="AR62" i="3"/>
  <c r="AN47" i="3"/>
  <c r="AN48" i="3"/>
  <c r="AN49" i="3"/>
  <c r="AN50" i="3"/>
  <c r="AN51" i="3"/>
  <c r="AN52" i="3"/>
  <c r="AN53" i="3"/>
  <c r="AN54" i="3"/>
  <c r="AN55" i="3"/>
  <c r="AN56" i="3"/>
  <c r="AN59" i="3"/>
  <c r="AN60" i="3"/>
  <c r="AN61" i="3"/>
  <c r="AN62" i="3"/>
  <c r="AJ47" i="3"/>
  <c r="AJ48" i="3"/>
  <c r="AJ49" i="3"/>
  <c r="AJ50" i="3"/>
  <c r="AJ51" i="3"/>
  <c r="AJ52" i="3"/>
  <c r="AJ53" i="3"/>
  <c r="AJ54" i="3"/>
  <c r="AJ55" i="3"/>
  <c r="AJ56" i="3"/>
  <c r="AJ59" i="3"/>
  <c r="AJ60" i="3"/>
  <c r="AJ61" i="3"/>
  <c r="AJ62" i="3"/>
  <c r="AZ73" i="3"/>
  <c r="AV73" i="3"/>
  <c r="AR73" i="3"/>
  <c r="AN73" i="3"/>
  <c r="AJ73" i="3"/>
  <c r="AZ72" i="3"/>
  <c r="AV72" i="3"/>
  <c r="AR72" i="3"/>
  <c r="AN72" i="3"/>
  <c r="AJ72" i="3"/>
  <c r="AZ71" i="3"/>
  <c r="AV71" i="3"/>
  <c r="AR71" i="3"/>
  <c r="AN71" i="3"/>
  <c r="AJ71" i="3"/>
  <c r="AZ70" i="3"/>
  <c r="AV70" i="3"/>
  <c r="AR70" i="3"/>
  <c r="AN70" i="3"/>
  <c r="AJ70" i="3"/>
  <c r="AZ69" i="3"/>
  <c r="AV69" i="3"/>
  <c r="AR69" i="3"/>
  <c r="AN69" i="3"/>
  <c r="AJ69" i="3"/>
  <c r="AZ68" i="3"/>
  <c r="AV68" i="3"/>
  <c r="AR68" i="3"/>
  <c r="AN68" i="3"/>
  <c r="AJ68" i="3"/>
  <c r="AZ67" i="3"/>
  <c r="AV67" i="3"/>
  <c r="AR67" i="3"/>
  <c r="AN67" i="3"/>
  <c r="AJ67" i="3"/>
  <c r="AZ66" i="3"/>
  <c r="AV66" i="3"/>
  <c r="AR66" i="3"/>
  <c r="AN66" i="3"/>
  <c r="AJ66" i="3"/>
  <c r="AZ65" i="3"/>
  <c r="AV65" i="3"/>
  <c r="AR65" i="3"/>
  <c r="AN65" i="3"/>
  <c r="AJ65" i="3"/>
  <c r="AZ64" i="3"/>
  <c r="AV64" i="3"/>
  <c r="AR64" i="3"/>
  <c r="AN64" i="3"/>
  <c r="AW63" i="3"/>
  <c r="AR63" i="3"/>
  <c r="AG63" i="3"/>
  <c r="AY47" i="3"/>
  <c r="AY48" i="3"/>
  <c r="AY49" i="3"/>
  <c r="AY50" i="3"/>
  <c r="AY51" i="3"/>
  <c r="AY52" i="3"/>
  <c r="AY53" i="3"/>
  <c r="AY54" i="3"/>
  <c r="AY55" i="3"/>
  <c r="AY56" i="3"/>
  <c r="AY59" i="3"/>
  <c r="AY60" i="3"/>
  <c r="AY61" i="3"/>
  <c r="AY62" i="3"/>
  <c r="AU47" i="3"/>
  <c r="AU48" i="3"/>
  <c r="AU49" i="3"/>
  <c r="AU50" i="3"/>
  <c r="AU51" i="3"/>
  <c r="AU52" i="3"/>
  <c r="AU53" i="3"/>
  <c r="AU54" i="3"/>
  <c r="AU55" i="3"/>
  <c r="AU56" i="3"/>
  <c r="AU59" i="3"/>
  <c r="AU60" i="3"/>
  <c r="AU61" i="3"/>
  <c r="AU62" i="3"/>
  <c r="AQ47" i="3"/>
  <c r="AQ48" i="3"/>
  <c r="AQ49" i="3"/>
  <c r="AQ50" i="3"/>
  <c r="AQ51" i="3"/>
  <c r="AQ52" i="3"/>
  <c r="AQ53" i="3"/>
  <c r="AQ54" i="3"/>
  <c r="AQ55" i="3"/>
  <c r="AQ56" i="3"/>
  <c r="AQ59" i="3"/>
  <c r="AQ60" i="3"/>
  <c r="AQ61" i="3"/>
  <c r="AQ62" i="3"/>
  <c r="AM47" i="3"/>
  <c r="AM48" i="3"/>
  <c r="AM49" i="3"/>
  <c r="AM50" i="3"/>
  <c r="AM51" i="3"/>
  <c r="AM52" i="3"/>
  <c r="AM53" i="3"/>
  <c r="AM54" i="3"/>
  <c r="AM55" i="3"/>
  <c r="AM56" i="3"/>
  <c r="AM59" i="3"/>
  <c r="AM60" i="3"/>
  <c r="AM61" i="3"/>
  <c r="AM62" i="3"/>
  <c r="AI47" i="3"/>
  <c r="AI48" i="3"/>
  <c r="AI49" i="3"/>
  <c r="AI50" i="3"/>
  <c r="AI51" i="3"/>
  <c r="AI52" i="3"/>
  <c r="AI53" i="3"/>
  <c r="AI54" i="3"/>
  <c r="AI55" i="3"/>
  <c r="AI56" i="3"/>
  <c r="AI59" i="3"/>
  <c r="AI60" i="3"/>
  <c r="AI61" i="3"/>
  <c r="AI62" i="3"/>
  <c r="AY73" i="3"/>
  <c r="AU73" i="3"/>
  <c r="AQ73" i="3"/>
  <c r="AM73" i="3"/>
  <c r="AI73" i="3"/>
  <c r="AY72" i="3"/>
  <c r="AU72" i="3"/>
  <c r="AQ72" i="3"/>
  <c r="AM72" i="3"/>
  <c r="AI72" i="3"/>
  <c r="AY71" i="3"/>
  <c r="AU71" i="3"/>
  <c r="AQ71" i="3"/>
  <c r="AM71" i="3"/>
  <c r="AI71" i="3"/>
  <c r="AY70" i="3"/>
  <c r="AU70" i="3"/>
  <c r="AQ70" i="3"/>
  <c r="AM70" i="3"/>
  <c r="AI70" i="3"/>
  <c r="AY69" i="3"/>
  <c r="AU69" i="3"/>
  <c r="AQ69" i="3"/>
  <c r="AM69" i="3"/>
  <c r="AI69" i="3"/>
  <c r="AY68" i="3"/>
  <c r="AU68" i="3"/>
  <c r="AQ68" i="3"/>
  <c r="AM68" i="3"/>
  <c r="AI68" i="3"/>
  <c r="AY67" i="3"/>
  <c r="AU67" i="3"/>
  <c r="AQ67" i="3"/>
  <c r="AM67" i="3"/>
  <c r="AI67" i="3"/>
  <c r="AY66" i="3"/>
  <c r="AU66" i="3"/>
  <c r="AQ66" i="3"/>
  <c r="AM66" i="3"/>
  <c r="AI66" i="3"/>
  <c r="AY65" i="3"/>
  <c r="AU65" i="3"/>
  <c r="AQ65" i="3"/>
  <c r="AM65" i="3"/>
  <c r="AI65" i="3"/>
  <c r="AY64" i="3"/>
  <c r="AU64" i="3"/>
  <c r="AQ64" i="3"/>
  <c r="AM64" i="3"/>
  <c r="AG64" i="3"/>
  <c r="AV63" i="3"/>
  <c r="AQ63" i="3"/>
  <c r="AK63" i="3"/>
  <c r="AZ62" i="3"/>
  <c r="AY6" i="6"/>
  <c r="AY7" i="6" s="1"/>
  <c r="AU6" i="6"/>
  <c r="AU7" i="6" s="1"/>
  <c r="AQ6" i="6"/>
  <c r="AQ7" i="6" s="1"/>
  <c r="AM6" i="6"/>
  <c r="AM7" i="6" s="1"/>
  <c r="AI6" i="6"/>
  <c r="AI7" i="6" s="1"/>
  <c r="AN7" i="6"/>
  <c r="AJ7" i="6"/>
  <c r="P14" i="7" l="1"/>
  <c r="P8" i="3"/>
  <c r="D5" i="21"/>
  <c r="D15" i="21" s="1"/>
  <c r="E29" i="13" s="1"/>
  <c r="E28" i="13" s="1"/>
  <c r="E5" i="21"/>
  <c r="E15" i="21" s="1"/>
  <c r="F29" i="13" s="1"/>
  <c r="F28" i="13" s="1"/>
  <c r="B5" i="21"/>
  <c r="B15" i="21" s="1"/>
  <c r="C5" i="21"/>
  <c r="C15" i="21" s="1"/>
  <c r="D29" i="13" s="1"/>
  <c r="D28" i="13" s="1"/>
  <c r="C9" i="3"/>
  <c r="C47" i="3" s="1"/>
  <c r="E10" i="5"/>
  <c r="G10" i="5"/>
  <c r="I10" i="5"/>
  <c r="K10" i="5"/>
  <c r="M10" i="5"/>
  <c r="O10" i="5"/>
  <c r="Q10" i="5"/>
  <c r="S10" i="5"/>
  <c r="U10" i="5"/>
  <c r="W10" i="5"/>
  <c r="Y10" i="5"/>
  <c r="AA10" i="5"/>
  <c r="AC10" i="5"/>
  <c r="AE10" i="5"/>
  <c r="AG10" i="5"/>
  <c r="AI10" i="5"/>
  <c r="AK10" i="5"/>
  <c r="AM10" i="5"/>
  <c r="AO10" i="5"/>
  <c r="AQ10" i="5"/>
  <c r="AS10" i="5"/>
  <c r="AU10" i="5"/>
  <c r="AW10" i="5"/>
  <c r="AY10" i="5"/>
  <c r="C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R10" i="5"/>
  <c r="AT10" i="5"/>
  <c r="AV10" i="5"/>
  <c r="AX10" i="5"/>
  <c r="AZ10" i="5"/>
  <c r="M15" i="21"/>
  <c r="N29" i="13" s="1"/>
  <c r="N28" i="13" s="1"/>
  <c r="Q29" i="13"/>
  <c r="Q28" i="13" s="1"/>
  <c r="G15" i="21"/>
  <c r="H29" i="13" s="1"/>
  <c r="H28" i="13" s="1"/>
  <c r="L15" i="21"/>
  <c r="M29" i="13" s="1"/>
  <c r="M28" i="13" s="1"/>
  <c r="K15" i="21"/>
  <c r="L29" i="13" s="1"/>
  <c r="L28" i="13" s="1"/>
  <c r="J15" i="21"/>
  <c r="K29" i="13" s="1"/>
  <c r="K28" i="13" s="1"/>
  <c r="I15" i="21"/>
  <c r="J29" i="13" s="1"/>
  <c r="J28" i="13" s="1"/>
  <c r="H15" i="21"/>
  <c r="I29" i="13" s="1"/>
  <c r="I28" i="13" s="1"/>
  <c r="F15" i="21"/>
  <c r="G29" i="13" s="1"/>
  <c r="G28" i="13" s="1"/>
  <c r="N15" i="21"/>
  <c r="O29" i="13" s="1"/>
  <c r="O28" i="13" s="1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K12" i="18"/>
  <c r="O12" i="18"/>
  <c r="S12" i="18"/>
  <c r="W12" i="18"/>
  <c r="AA12" i="18"/>
  <c r="AE12" i="18"/>
  <c r="O14" i="7" l="1"/>
  <c r="O8" i="3"/>
  <c r="M14" i="7"/>
  <c r="M8" i="3"/>
  <c r="J8" i="3"/>
  <c r="J14" i="7"/>
  <c r="H14" i="7"/>
  <c r="H8" i="3"/>
  <c r="F8" i="3"/>
  <c r="F14" i="7"/>
  <c r="K14" i="7"/>
  <c r="K8" i="3"/>
  <c r="E14" i="7"/>
  <c r="E8" i="3"/>
  <c r="Q14" i="7"/>
  <c r="Q8" i="3"/>
  <c r="G14" i="7"/>
  <c r="G8" i="3"/>
  <c r="L14" i="7"/>
  <c r="L8" i="3"/>
  <c r="N8" i="3"/>
  <c r="N14" i="7"/>
  <c r="D14" i="7"/>
  <c r="D8" i="3"/>
  <c r="I14" i="7"/>
  <c r="I8" i="3"/>
  <c r="C29" i="13"/>
  <c r="C28" i="13" s="1"/>
  <c r="AD12" i="18"/>
  <c r="Z12" i="18"/>
  <c r="V12" i="18"/>
  <c r="R12" i="18"/>
  <c r="N12" i="18"/>
  <c r="J12" i="18"/>
  <c r="AG12" i="18"/>
  <c r="AC12" i="18"/>
  <c r="Y12" i="18"/>
  <c r="U12" i="18"/>
  <c r="Q12" i="18"/>
  <c r="M12" i="18"/>
  <c r="I12" i="18"/>
  <c r="AF12" i="18"/>
  <c r="AB12" i="18"/>
  <c r="X12" i="18"/>
  <c r="T12" i="18"/>
  <c r="P12" i="18"/>
  <c r="L12" i="18"/>
  <c r="H12" i="18"/>
  <c r="AT6" i="5" l="1"/>
  <c r="AT20" i="5" s="1"/>
  <c r="AP6" i="5"/>
  <c r="AP20" i="5" s="1"/>
  <c r="J6" i="5"/>
  <c r="J20" i="5" s="1"/>
  <c r="G6" i="5"/>
  <c r="G20" i="5" s="1"/>
  <c r="K6" i="5"/>
  <c r="K20" i="5" s="1"/>
  <c r="O6" i="5"/>
  <c r="O20" i="5" s="1"/>
  <c r="S6" i="5"/>
  <c r="S20" i="5" s="1"/>
  <c r="W6" i="5"/>
  <c r="W20" i="5" s="1"/>
  <c r="AA6" i="5"/>
  <c r="AA20" i="5" s="1"/>
  <c r="AE6" i="5"/>
  <c r="AE20" i="5" s="1"/>
  <c r="AI6" i="5"/>
  <c r="AI20" i="5" s="1"/>
  <c r="AM6" i="5"/>
  <c r="AM20" i="5" s="1"/>
  <c r="AQ6" i="5"/>
  <c r="AQ20" i="5" s="1"/>
  <c r="AU6" i="5"/>
  <c r="AU20" i="5" s="1"/>
  <c r="AY6" i="5"/>
  <c r="AY20" i="5" s="1"/>
  <c r="D6" i="5"/>
  <c r="D20" i="5" s="1"/>
  <c r="H6" i="5"/>
  <c r="H20" i="5" s="1"/>
  <c r="L6" i="5"/>
  <c r="L20" i="5" s="1"/>
  <c r="P6" i="5"/>
  <c r="P20" i="5" s="1"/>
  <c r="T6" i="5"/>
  <c r="T20" i="5" s="1"/>
  <c r="X6" i="5"/>
  <c r="X20" i="5" s="1"/>
  <c r="AB6" i="5"/>
  <c r="AB20" i="5" s="1"/>
  <c r="AF6" i="5"/>
  <c r="AF20" i="5" s="1"/>
  <c r="AJ6" i="5"/>
  <c r="AJ20" i="5" s="1"/>
  <c r="AN6" i="5"/>
  <c r="AN20" i="5" s="1"/>
  <c r="AR6" i="5"/>
  <c r="AR20" i="5" s="1"/>
  <c r="AV6" i="5"/>
  <c r="AV20" i="5" s="1"/>
  <c r="AZ6" i="5"/>
  <c r="AZ20" i="5" s="1"/>
  <c r="E6" i="5"/>
  <c r="I6" i="5"/>
  <c r="I20" i="5" s="1"/>
  <c r="M6" i="5"/>
  <c r="M20" i="5" s="1"/>
  <c r="Q6" i="5"/>
  <c r="Q20" i="5" s="1"/>
  <c r="U6" i="5"/>
  <c r="U20" i="5" s="1"/>
  <c r="Y6" i="5"/>
  <c r="Y20" i="5" s="1"/>
  <c r="AC6" i="5"/>
  <c r="AC20" i="5" s="1"/>
  <c r="AG6" i="5"/>
  <c r="AG20" i="5" s="1"/>
  <c r="AK6" i="5"/>
  <c r="AK20" i="5" s="1"/>
  <c r="AO6" i="5"/>
  <c r="AO20" i="5" s="1"/>
  <c r="AS6" i="5"/>
  <c r="AS20" i="5" s="1"/>
  <c r="AW6" i="5"/>
  <c r="AW20" i="5" s="1"/>
  <c r="C6" i="5"/>
  <c r="C20" i="5" s="1"/>
  <c r="F6" i="5"/>
  <c r="F20" i="5" s="1"/>
  <c r="N6" i="5"/>
  <c r="N20" i="5" s="1"/>
  <c r="R6" i="5"/>
  <c r="R20" i="5" s="1"/>
  <c r="V6" i="5"/>
  <c r="V20" i="5" s="1"/>
  <c r="Z6" i="5"/>
  <c r="Z20" i="5" s="1"/>
  <c r="AD6" i="5"/>
  <c r="AD20" i="5" s="1"/>
  <c r="AH6" i="5"/>
  <c r="AH20" i="5" s="1"/>
  <c r="AL6" i="5"/>
  <c r="AL20" i="5" s="1"/>
  <c r="AX6" i="5"/>
  <c r="AX20" i="5" s="1"/>
  <c r="C14" i="7"/>
  <c r="C8" i="3"/>
  <c r="E20" i="5"/>
  <c r="C8" i="6"/>
  <c r="C3" i="12" l="1"/>
  <c r="AC95" i="7" l="1"/>
  <c r="AC96" i="7"/>
  <c r="AC88" i="7"/>
  <c r="AC93" i="7"/>
  <c r="AC94" i="7"/>
  <c r="AC101" i="7"/>
  <c r="AC102" i="7"/>
  <c r="AC91" i="7"/>
  <c r="AC92" i="7"/>
  <c r="AC99" i="7"/>
  <c r="AC100" i="7"/>
  <c r="AC89" i="7"/>
  <c r="AC90" i="7"/>
  <c r="AC97" i="7"/>
  <c r="AC98" i="7"/>
  <c r="Y89" i="7"/>
  <c r="Y90" i="7"/>
  <c r="Y97" i="7"/>
  <c r="Y98" i="7"/>
  <c r="Y88" i="7"/>
  <c r="Y95" i="7"/>
  <c r="Y96" i="7"/>
  <c r="Y93" i="7"/>
  <c r="Y94" i="7"/>
  <c r="Y101" i="7"/>
  <c r="Y102" i="7"/>
  <c r="Y91" i="7"/>
  <c r="Y92" i="7"/>
  <c r="Y99" i="7"/>
  <c r="Y100" i="7"/>
  <c r="U89" i="7"/>
  <c r="U93" i="7"/>
  <c r="U97" i="7"/>
  <c r="U101" i="7"/>
  <c r="U94" i="7"/>
  <c r="U99" i="7"/>
  <c r="U88" i="7"/>
  <c r="U90" i="7"/>
  <c r="U95" i="7"/>
  <c r="U100" i="7"/>
  <c r="U91" i="7"/>
  <c r="U96" i="7"/>
  <c r="U102" i="7"/>
  <c r="U92" i="7"/>
  <c r="U98" i="7"/>
  <c r="Q91" i="7"/>
  <c r="Q95" i="7"/>
  <c r="Q99" i="7"/>
  <c r="Q93" i="7"/>
  <c r="Q98" i="7"/>
  <c r="Q88" i="7"/>
  <c r="Q89" i="7"/>
  <c r="Q94" i="7"/>
  <c r="Q100" i="7"/>
  <c r="Q90" i="7"/>
  <c r="Q96" i="7"/>
  <c r="Q101" i="7"/>
  <c r="Q92" i="7"/>
  <c r="Q97" i="7"/>
  <c r="M89" i="7"/>
  <c r="M93" i="7"/>
  <c r="M97" i="7"/>
  <c r="M92" i="7"/>
  <c r="M88" i="7"/>
  <c r="M94" i="7"/>
  <c r="M90" i="7"/>
  <c r="M95" i="7"/>
  <c r="M91" i="7"/>
  <c r="M96" i="7"/>
  <c r="I92" i="7"/>
  <c r="I93" i="7"/>
  <c r="I88" i="7"/>
  <c r="I89" i="7"/>
  <c r="I90" i="7"/>
  <c r="I91" i="7"/>
  <c r="AF89" i="7"/>
  <c r="AF91" i="7"/>
  <c r="AF93" i="7"/>
  <c r="AF95" i="7"/>
  <c r="AF97" i="7"/>
  <c r="AF99" i="7"/>
  <c r="AF101" i="7"/>
  <c r="AF92" i="7"/>
  <c r="AF100" i="7"/>
  <c r="AF90" i="7"/>
  <c r="AF98" i="7"/>
  <c r="AF96" i="7"/>
  <c r="AF94" i="7"/>
  <c r="AF102" i="7"/>
  <c r="AF88" i="7"/>
  <c r="AB89" i="7"/>
  <c r="AB91" i="7"/>
  <c r="AB93" i="7"/>
  <c r="AB95" i="7"/>
  <c r="AB97" i="7"/>
  <c r="AB99" i="7"/>
  <c r="AB101" i="7"/>
  <c r="AB94" i="7"/>
  <c r="AB102" i="7"/>
  <c r="AB92" i="7"/>
  <c r="AB100" i="7"/>
  <c r="AB90" i="7"/>
  <c r="AB98" i="7"/>
  <c r="AB96" i="7"/>
  <c r="AB88" i="7"/>
  <c r="X89" i="7"/>
  <c r="X91" i="7"/>
  <c r="X93" i="7"/>
  <c r="X95" i="7"/>
  <c r="X97" i="7"/>
  <c r="X99" i="7"/>
  <c r="X101" i="7"/>
  <c r="X96" i="7"/>
  <c r="X94" i="7"/>
  <c r="X102" i="7"/>
  <c r="X92" i="7"/>
  <c r="X100" i="7"/>
  <c r="X90" i="7"/>
  <c r="X98" i="7"/>
  <c r="X88" i="7"/>
  <c r="T89" i="7"/>
  <c r="T93" i="7"/>
  <c r="T97" i="7"/>
  <c r="T101" i="7"/>
  <c r="T94" i="7"/>
  <c r="T99" i="7"/>
  <c r="T90" i="7"/>
  <c r="T95" i="7"/>
  <c r="T100" i="7"/>
  <c r="T91" i="7"/>
  <c r="T96" i="7"/>
  <c r="T102" i="7"/>
  <c r="T92" i="7"/>
  <c r="T98" i="7"/>
  <c r="T88" i="7"/>
  <c r="P91" i="7"/>
  <c r="P95" i="7"/>
  <c r="P99" i="7"/>
  <c r="P89" i="7"/>
  <c r="P94" i="7"/>
  <c r="P100" i="7"/>
  <c r="P90" i="7"/>
  <c r="P96" i="7"/>
  <c r="P92" i="7"/>
  <c r="P97" i="7"/>
  <c r="P93" i="7"/>
  <c r="P98" i="7"/>
  <c r="P88" i="7"/>
  <c r="L89" i="7"/>
  <c r="L93" i="7"/>
  <c r="L90" i="7"/>
  <c r="L95" i="7"/>
  <c r="L91" i="7"/>
  <c r="L96" i="7"/>
  <c r="L92" i="7"/>
  <c r="L94" i="7"/>
  <c r="L88" i="7"/>
  <c r="H92" i="7"/>
  <c r="H91" i="7"/>
  <c r="H89" i="7"/>
  <c r="H90" i="7"/>
  <c r="H88" i="7"/>
  <c r="AE90" i="7"/>
  <c r="AE91" i="7"/>
  <c r="AE98" i="7"/>
  <c r="AE99" i="7"/>
  <c r="AE89" i="7"/>
  <c r="AE96" i="7"/>
  <c r="AE97" i="7"/>
  <c r="AE94" i="7"/>
  <c r="AE95" i="7"/>
  <c r="AE102" i="7"/>
  <c r="AE88" i="7"/>
  <c r="AE92" i="7"/>
  <c r="AE93" i="7"/>
  <c r="AE100" i="7"/>
  <c r="AE101" i="7"/>
  <c r="AA92" i="7"/>
  <c r="AA93" i="7"/>
  <c r="AA100" i="7"/>
  <c r="AA101" i="7"/>
  <c r="AA90" i="7"/>
  <c r="AA91" i="7"/>
  <c r="AA98" i="7"/>
  <c r="AA99" i="7"/>
  <c r="AA89" i="7"/>
  <c r="AA96" i="7"/>
  <c r="AA97" i="7"/>
  <c r="AA88" i="7"/>
  <c r="AA94" i="7"/>
  <c r="AA95" i="7"/>
  <c r="AA102" i="7"/>
  <c r="W94" i="7"/>
  <c r="W95" i="7"/>
  <c r="W102" i="7"/>
  <c r="W92" i="7"/>
  <c r="W93" i="7"/>
  <c r="W100" i="7"/>
  <c r="W101" i="7"/>
  <c r="W90" i="7"/>
  <c r="W91" i="7"/>
  <c r="W98" i="7"/>
  <c r="W99" i="7"/>
  <c r="W88" i="7"/>
  <c r="W89" i="7"/>
  <c r="W96" i="7"/>
  <c r="W97" i="7"/>
  <c r="S92" i="7"/>
  <c r="S96" i="7"/>
  <c r="S100" i="7"/>
  <c r="S93" i="7"/>
  <c r="S98" i="7"/>
  <c r="S89" i="7"/>
  <c r="S94" i="7"/>
  <c r="S99" i="7"/>
  <c r="S90" i="7"/>
  <c r="S95" i="7"/>
  <c r="S101" i="7"/>
  <c r="S88" i="7"/>
  <c r="S91" i="7"/>
  <c r="S97" i="7"/>
  <c r="S102" i="7"/>
  <c r="O90" i="7"/>
  <c r="O94" i="7"/>
  <c r="O98" i="7"/>
  <c r="O89" i="7"/>
  <c r="O95" i="7"/>
  <c r="O91" i="7"/>
  <c r="O96" i="7"/>
  <c r="O92" i="7"/>
  <c r="O97" i="7"/>
  <c r="O88" i="7"/>
  <c r="O93" i="7"/>
  <c r="O99" i="7"/>
  <c r="K89" i="7"/>
  <c r="K93" i="7"/>
  <c r="K92" i="7"/>
  <c r="K94" i="7"/>
  <c r="K90" i="7"/>
  <c r="K95" i="7"/>
  <c r="K88" i="7"/>
  <c r="K91" i="7"/>
  <c r="G91" i="7"/>
  <c r="G89" i="7"/>
  <c r="G90" i="7"/>
  <c r="G88" i="7"/>
  <c r="AD90" i="7"/>
  <c r="AD92" i="7"/>
  <c r="AD94" i="7"/>
  <c r="AD96" i="7"/>
  <c r="AD98" i="7"/>
  <c r="AD100" i="7"/>
  <c r="AD102" i="7"/>
  <c r="AD89" i="7"/>
  <c r="AD97" i="7"/>
  <c r="AD95" i="7"/>
  <c r="AD88" i="7"/>
  <c r="AD93" i="7"/>
  <c r="AD101" i="7"/>
  <c r="AD91" i="7"/>
  <c r="AD99" i="7"/>
  <c r="Z90" i="7"/>
  <c r="Z92" i="7"/>
  <c r="Z94" i="7"/>
  <c r="Z96" i="7"/>
  <c r="Z98" i="7"/>
  <c r="Z100" i="7"/>
  <c r="Z102" i="7"/>
  <c r="Z91" i="7"/>
  <c r="Z99" i="7"/>
  <c r="Z89" i="7"/>
  <c r="Z97" i="7"/>
  <c r="Z88" i="7"/>
  <c r="Z95" i="7"/>
  <c r="Z93" i="7"/>
  <c r="Z101" i="7"/>
  <c r="V92" i="7"/>
  <c r="V96" i="7"/>
  <c r="V100" i="7"/>
  <c r="V93" i="7"/>
  <c r="V98" i="7"/>
  <c r="V89" i="7"/>
  <c r="V94" i="7"/>
  <c r="V99" i="7"/>
  <c r="V88" i="7"/>
  <c r="V90" i="7"/>
  <c r="V95" i="7"/>
  <c r="V101" i="7"/>
  <c r="V91" i="7"/>
  <c r="V97" i="7"/>
  <c r="V102" i="7"/>
  <c r="R90" i="7"/>
  <c r="R94" i="7"/>
  <c r="R98" i="7"/>
  <c r="R102" i="7"/>
  <c r="R91" i="7"/>
  <c r="R96" i="7"/>
  <c r="R101" i="7"/>
  <c r="R92" i="7"/>
  <c r="R97" i="7"/>
  <c r="R88" i="7"/>
  <c r="R93" i="7"/>
  <c r="R99" i="7"/>
  <c r="R89" i="7"/>
  <c r="R95" i="7"/>
  <c r="R100" i="7"/>
  <c r="N92" i="7"/>
  <c r="N96" i="7"/>
  <c r="N89" i="7"/>
  <c r="N94" i="7"/>
  <c r="N90" i="7"/>
  <c r="N95" i="7"/>
  <c r="N88" i="7"/>
  <c r="N91" i="7"/>
  <c r="N97" i="7"/>
  <c r="N93" i="7"/>
  <c r="N98" i="7"/>
  <c r="J91" i="7"/>
  <c r="J93" i="7"/>
  <c r="J89" i="7"/>
  <c r="J94" i="7"/>
  <c r="J88" i="7"/>
  <c r="J90" i="7"/>
  <c r="J92" i="7"/>
  <c r="AE80" i="7"/>
  <c r="AE84" i="7"/>
  <c r="AE76" i="7"/>
  <c r="AE77" i="7"/>
  <c r="AE81" i="7"/>
  <c r="AE85" i="7"/>
  <c r="AE78" i="7"/>
  <c r="AE82" i="7"/>
  <c r="AE79" i="7"/>
  <c r="AE83" i="7"/>
  <c r="AA77" i="7"/>
  <c r="AA81" i="7"/>
  <c r="AA85" i="7"/>
  <c r="AA83" i="7"/>
  <c r="AA78" i="7"/>
  <c r="AA82" i="7"/>
  <c r="AA80" i="7"/>
  <c r="AA84" i="7"/>
  <c r="AA76" i="7"/>
  <c r="AA79" i="7"/>
  <c r="W77" i="7"/>
  <c r="W78" i="7"/>
  <c r="W82" i="7"/>
  <c r="W80" i="7"/>
  <c r="W76" i="7"/>
  <c r="W79" i="7"/>
  <c r="W83" i="7"/>
  <c r="W84" i="7"/>
  <c r="W81" i="7"/>
  <c r="W85" i="7"/>
  <c r="S77" i="7"/>
  <c r="S79" i="7"/>
  <c r="S83" i="7"/>
  <c r="S81" i="7"/>
  <c r="S85" i="7"/>
  <c r="S80" i="7"/>
  <c r="S84" i="7"/>
  <c r="S76" i="7"/>
  <c r="S78" i="7"/>
  <c r="S82" i="7"/>
  <c r="O77" i="7"/>
  <c r="O80" i="7"/>
  <c r="O84" i="7"/>
  <c r="O76" i="7"/>
  <c r="O78" i="7"/>
  <c r="O82" i="7"/>
  <c r="O81" i="7"/>
  <c r="O85" i="7"/>
  <c r="O79" i="7"/>
  <c r="O83" i="7"/>
  <c r="K77" i="7"/>
  <c r="K81" i="7"/>
  <c r="K78" i="7"/>
  <c r="K82" i="7"/>
  <c r="K83" i="7"/>
  <c r="K80" i="7"/>
  <c r="K79" i="7"/>
  <c r="K76" i="7"/>
  <c r="G79" i="7"/>
  <c r="G77" i="7"/>
  <c r="G78" i="7"/>
  <c r="G76" i="7"/>
  <c r="AD77" i="7"/>
  <c r="AD78" i="7"/>
  <c r="AD79" i="7"/>
  <c r="AD80" i="7"/>
  <c r="AD81" i="7"/>
  <c r="AD82" i="7"/>
  <c r="AD83" i="7"/>
  <c r="AD84" i="7"/>
  <c r="AD85" i="7"/>
  <c r="AD76" i="7"/>
  <c r="V77" i="7"/>
  <c r="V78" i="7"/>
  <c r="V79" i="7"/>
  <c r="V80" i="7"/>
  <c r="V81" i="7"/>
  <c r="V82" i="7"/>
  <c r="V83" i="7"/>
  <c r="V84" i="7"/>
  <c r="V85" i="7"/>
  <c r="V76" i="7"/>
  <c r="R77" i="7"/>
  <c r="R78" i="7"/>
  <c r="R79" i="7"/>
  <c r="R80" i="7"/>
  <c r="R81" i="7"/>
  <c r="R82" i="7"/>
  <c r="R83" i="7"/>
  <c r="R84" i="7"/>
  <c r="R85" i="7"/>
  <c r="R76" i="7"/>
  <c r="J78" i="7"/>
  <c r="J82" i="7"/>
  <c r="J79" i="7"/>
  <c r="J76" i="7"/>
  <c r="J80" i="7"/>
  <c r="J77" i="7"/>
  <c r="J81" i="7"/>
  <c r="Z77" i="7"/>
  <c r="Z78" i="7"/>
  <c r="Z79" i="7"/>
  <c r="Z80" i="7"/>
  <c r="Z81" i="7"/>
  <c r="Z82" i="7"/>
  <c r="Z83" i="7"/>
  <c r="Z84" i="7"/>
  <c r="Z85" i="7"/>
  <c r="Z76" i="7"/>
  <c r="N77" i="7"/>
  <c r="N78" i="7"/>
  <c r="N79" i="7"/>
  <c r="N80" i="7"/>
  <c r="N81" i="7"/>
  <c r="N82" i="7"/>
  <c r="N83" i="7"/>
  <c r="N84" i="7"/>
  <c r="N85" i="7"/>
  <c r="N76" i="7"/>
  <c r="AC77" i="7"/>
  <c r="AC78" i="7"/>
  <c r="AC79" i="7"/>
  <c r="AC80" i="7"/>
  <c r="AC81" i="7"/>
  <c r="AC82" i="7"/>
  <c r="AC83" i="7"/>
  <c r="AC84" i="7"/>
  <c r="AC85" i="7"/>
  <c r="AC76" i="7"/>
  <c r="Y77" i="7"/>
  <c r="Y78" i="7"/>
  <c r="Y79" i="7"/>
  <c r="Y80" i="7"/>
  <c r="Y81" i="7"/>
  <c r="Y82" i="7"/>
  <c r="Y83" i="7"/>
  <c r="Y84" i="7"/>
  <c r="Y85" i="7"/>
  <c r="Y76" i="7"/>
  <c r="U77" i="7"/>
  <c r="U78" i="7"/>
  <c r="U79" i="7"/>
  <c r="U80" i="7"/>
  <c r="U81" i="7"/>
  <c r="U82" i="7"/>
  <c r="U83" i="7"/>
  <c r="U84" i="7"/>
  <c r="U85" i="7"/>
  <c r="U76" i="7"/>
  <c r="Q77" i="7"/>
  <c r="Q78" i="7"/>
  <c r="Q79" i="7"/>
  <c r="Q80" i="7"/>
  <c r="Q81" i="7"/>
  <c r="Q82" i="7"/>
  <c r="Q83" i="7"/>
  <c r="Q84" i="7"/>
  <c r="Q85" i="7"/>
  <c r="Q76" i="7"/>
  <c r="M77" i="7"/>
  <c r="M78" i="7"/>
  <c r="M79" i="7"/>
  <c r="M80" i="7"/>
  <c r="M81" i="7"/>
  <c r="M82" i="7"/>
  <c r="M83" i="7"/>
  <c r="M84" i="7"/>
  <c r="M85" i="7"/>
  <c r="M76" i="7"/>
  <c r="I80" i="7"/>
  <c r="I76" i="7"/>
  <c r="I77" i="7"/>
  <c r="I81" i="7"/>
  <c r="I78" i="7"/>
  <c r="I79" i="7"/>
  <c r="AF77" i="7"/>
  <c r="AF78" i="7"/>
  <c r="AF79" i="7"/>
  <c r="AF80" i="7"/>
  <c r="AF81" i="7"/>
  <c r="AF82" i="7"/>
  <c r="AF83" i="7"/>
  <c r="AF84" i="7"/>
  <c r="AF85" i="7"/>
  <c r="AF76" i="7"/>
  <c r="AB77" i="7"/>
  <c r="AB78" i="7"/>
  <c r="AB79" i="7"/>
  <c r="AB80" i="7"/>
  <c r="AB81" i="7"/>
  <c r="AB82" i="7"/>
  <c r="AB83" i="7"/>
  <c r="AB84" i="7"/>
  <c r="AB85" i="7"/>
  <c r="AB76" i="7"/>
  <c r="X77" i="7"/>
  <c r="X78" i="7"/>
  <c r="X79" i="7"/>
  <c r="X80" i="7"/>
  <c r="X81" i="7"/>
  <c r="X82" i="7"/>
  <c r="X83" i="7"/>
  <c r="X84" i="7"/>
  <c r="X85" i="7"/>
  <c r="X76" i="7"/>
  <c r="T77" i="7"/>
  <c r="T78" i="7"/>
  <c r="T79" i="7"/>
  <c r="T80" i="7"/>
  <c r="T81" i="7"/>
  <c r="T82" i="7"/>
  <c r="T83" i="7"/>
  <c r="T84" i="7"/>
  <c r="T85" i="7"/>
  <c r="T76" i="7"/>
  <c r="P77" i="7"/>
  <c r="P78" i="7"/>
  <c r="P79" i="7"/>
  <c r="P80" i="7"/>
  <c r="P81" i="7"/>
  <c r="P82" i="7"/>
  <c r="P83" i="7"/>
  <c r="P84" i="7"/>
  <c r="P85" i="7"/>
  <c r="P76" i="7"/>
  <c r="L77" i="7"/>
  <c r="L81" i="7"/>
  <c r="L83" i="7"/>
  <c r="L78" i="7"/>
  <c r="L82" i="7"/>
  <c r="L79" i="7"/>
  <c r="L80" i="7"/>
  <c r="L84" i="7"/>
  <c r="L76" i="7"/>
  <c r="H79" i="7"/>
  <c r="H80" i="7"/>
  <c r="H77" i="7"/>
  <c r="H78" i="7"/>
  <c r="H76" i="7"/>
  <c r="AG5" i="12" l="1"/>
  <c r="AK5" i="12"/>
  <c r="AO5" i="12"/>
  <c r="AS5" i="12"/>
  <c r="AW5" i="12"/>
  <c r="AH5" i="12"/>
  <c r="AL5" i="12"/>
  <c r="AP5" i="12"/>
  <c r="AT5" i="12"/>
  <c r="AX5" i="12"/>
  <c r="AI5" i="12"/>
  <c r="AM5" i="12"/>
  <c r="AQ5" i="12"/>
  <c r="AU5" i="12"/>
  <c r="AY5" i="12"/>
  <c r="AJ5" i="12"/>
  <c r="AN5" i="12"/>
  <c r="AR5" i="12"/>
  <c r="AV5" i="12"/>
  <c r="AZ5" i="12"/>
  <c r="F5" i="12"/>
  <c r="J5" i="12"/>
  <c r="N5" i="12"/>
  <c r="R5" i="12"/>
  <c r="V5" i="12"/>
  <c r="Z5" i="12"/>
  <c r="AD5" i="12"/>
  <c r="K5" i="12"/>
  <c r="AA5" i="12"/>
  <c r="G5" i="12"/>
  <c r="S5" i="12"/>
  <c r="D5" i="12"/>
  <c r="H5" i="12"/>
  <c r="L5" i="12"/>
  <c r="P5" i="12"/>
  <c r="T5" i="12"/>
  <c r="X5" i="12"/>
  <c r="AB5" i="12"/>
  <c r="AF5" i="12"/>
  <c r="W5" i="12"/>
  <c r="E5" i="12"/>
  <c r="I5" i="12"/>
  <c r="M5" i="12"/>
  <c r="Q5" i="12"/>
  <c r="U5" i="12"/>
  <c r="Y5" i="12"/>
  <c r="AC5" i="12"/>
  <c r="C5" i="12"/>
  <c r="O5" i="12"/>
  <c r="AE5" i="12"/>
  <c r="AE60" i="3"/>
  <c r="AE64" i="3"/>
  <c r="AE68" i="3"/>
  <c r="AE72" i="3"/>
  <c r="AE49" i="3"/>
  <c r="AE51" i="3"/>
  <c r="AE53" i="3"/>
  <c r="AE55" i="3"/>
  <c r="AE61" i="3"/>
  <c r="AE65" i="3"/>
  <c r="AE69" i="3"/>
  <c r="AE73" i="3"/>
  <c r="AE59" i="3"/>
  <c r="AE62" i="3"/>
  <c r="AE66" i="3"/>
  <c r="AE70" i="3"/>
  <c r="AE48" i="3"/>
  <c r="AE50" i="3"/>
  <c r="AE52" i="3"/>
  <c r="AE54" i="3"/>
  <c r="AE56" i="3"/>
  <c r="AE63" i="3"/>
  <c r="AE67" i="3"/>
  <c r="AE71" i="3"/>
  <c r="AE47" i="3"/>
  <c r="AA60" i="3"/>
  <c r="AA64" i="3"/>
  <c r="AA68" i="3"/>
  <c r="AA72" i="3"/>
  <c r="AA49" i="3"/>
  <c r="AA51" i="3"/>
  <c r="AA53" i="3"/>
  <c r="AA55" i="3"/>
  <c r="AA61" i="3"/>
  <c r="AA65" i="3"/>
  <c r="AA69" i="3"/>
  <c r="AA73" i="3"/>
  <c r="AA59" i="3"/>
  <c r="AA62" i="3"/>
  <c r="AA66" i="3"/>
  <c r="AA70" i="3"/>
  <c r="AA48" i="3"/>
  <c r="AA50" i="3"/>
  <c r="AA52" i="3"/>
  <c r="AA54" i="3"/>
  <c r="AA56" i="3"/>
  <c r="AA63" i="3"/>
  <c r="AA67" i="3"/>
  <c r="AA71" i="3"/>
  <c r="AA47" i="3"/>
  <c r="W63" i="3"/>
  <c r="W67" i="3"/>
  <c r="W71" i="3"/>
  <c r="W60" i="3"/>
  <c r="W49" i="3"/>
  <c r="W51" i="3"/>
  <c r="W53" i="3"/>
  <c r="W55" i="3"/>
  <c r="W64" i="3"/>
  <c r="W68" i="3"/>
  <c r="W72" i="3"/>
  <c r="W59" i="3"/>
  <c r="W61" i="3"/>
  <c r="W65" i="3"/>
  <c r="W69" i="3"/>
  <c r="W73" i="3"/>
  <c r="W48" i="3"/>
  <c r="W50" i="3"/>
  <c r="W52" i="3"/>
  <c r="W54" i="3"/>
  <c r="W56" i="3"/>
  <c r="W62" i="3"/>
  <c r="W66" i="3"/>
  <c r="W70" i="3"/>
  <c r="W47" i="3"/>
  <c r="S61" i="3"/>
  <c r="S65" i="3"/>
  <c r="S69" i="3"/>
  <c r="S73" i="3"/>
  <c r="S49" i="3"/>
  <c r="S51" i="3"/>
  <c r="S53" i="3"/>
  <c r="S55" i="3"/>
  <c r="S62" i="3"/>
  <c r="S66" i="3"/>
  <c r="S70" i="3"/>
  <c r="S63" i="3"/>
  <c r="S67" i="3"/>
  <c r="S71" i="3"/>
  <c r="S59" i="3"/>
  <c r="S48" i="3"/>
  <c r="S50" i="3"/>
  <c r="S52" i="3"/>
  <c r="S54" i="3"/>
  <c r="S56" i="3"/>
  <c r="S64" i="3"/>
  <c r="S68" i="3"/>
  <c r="S72" i="3"/>
  <c r="S60" i="3"/>
  <c r="S47" i="3"/>
  <c r="O63" i="3"/>
  <c r="O67" i="3"/>
  <c r="O49" i="3"/>
  <c r="O51" i="3"/>
  <c r="O53" i="3"/>
  <c r="O55" i="3"/>
  <c r="O64" i="3"/>
  <c r="O68" i="3"/>
  <c r="O61" i="3"/>
  <c r="O65" i="3"/>
  <c r="O69" i="3"/>
  <c r="O59" i="3"/>
  <c r="O48" i="3"/>
  <c r="O50" i="3"/>
  <c r="O52" i="3"/>
  <c r="O54" i="3"/>
  <c r="O56" i="3"/>
  <c r="O62" i="3"/>
  <c r="O66" i="3"/>
  <c r="O70" i="3"/>
  <c r="O60" i="3"/>
  <c r="O47" i="3"/>
  <c r="I62" i="3"/>
  <c r="I59" i="3"/>
  <c r="I49" i="3"/>
  <c r="I63" i="3"/>
  <c r="I60" i="3"/>
  <c r="I50" i="3"/>
  <c r="I47" i="3"/>
  <c r="I64" i="3"/>
  <c r="I51" i="3"/>
  <c r="I48" i="3"/>
  <c r="I61" i="3"/>
  <c r="I52" i="3"/>
  <c r="E59" i="3"/>
  <c r="E60" i="3"/>
  <c r="E47" i="3"/>
  <c r="E48" i="3"/>
  <c r="AD61" i="3"/>
  <c r="AD65" i="3"/>
  <c r="AD69" i="3"/>
  <c r="AD73" i="3"/>
  <c r="AD59" i="3"/>
  <c r="AD62" i="3"/>
  <c r="AD66" i="3"/>
  <c r="AD70" i="3"/>
  <c r="AD48" i="3"/>
  <c r="AD50" i="3"/>
  <c r="AD52" i="3"/>
  <c r="AD54" i="3"/>
  <c r="AD56" i="3"/>
  <c r="AD63" i="3"/>
  <c r="AD67" i="3"/>
  <c r="AD71" i="3"/>
  <c r="AD47" i="3"/>
  <c r="AD60" i="3"/>
  <c r="AD64" i="3"/>
  <c r="AD68" i="3"/>
  <c r="AD72" i="3"/>
  <c r="AD49" i="3"/>
  <c r="AD51" i="3"/>
  <c r="AD53" i="3"/>
  <c r="AD55" i="3"/>
  <c r="Z61" i="3"/>
  <c r="Z65" i="3"/>
  <c r="Z69" i="3"/>
  <c r="Z73" i="3"/>
  <c r="Z59" i="3"/>
  <c r="Z62" i="3"/>
  <c r="Z66" i="3"/>
  <c r="Z70" i="3"/>
  <c r="Z48" i="3"/>
  <c r="Z50" i="3"/>
  <c r="Z52" i="3"/>
  <c r="Z54" i="3"/>
  <c r="Z56" i="3"/>
  <c r="Z63" i="3"/>
  <c r="Z67" i="3"/>
  <c r="Z71" i="3"/>
  <c r="Z47" i="3"/>
  <c r="Z60" i="3"/>
  <c r="Z64" i="3"/>
  <c r="Z68" i="3"/>
  <c r="Z72" i="3"/>
  <c r="Z49" i="3"/>
  <c r="Z51" i="3"/>
  <c r="Z53" i="3"/>
  <c r="Z55" i="3"/>
  <c r="V61" i="3"/>
  <c r="V65" i="3"/>
  <c r="V69" i="3"/>
  <c r="V73" i="3"/>
  <c r="V62" i="3"/>
  <c r="V66" i="3"/>
  <c r="V70" i="3"/>
  <c r="V48" i="3"/>
  <c r="V50" i="3"/>
  <c r="V52" i="3"/>
  <c r="V54" i="3"/>
  <c r="V56" i="3"/>
  <c r="V63" i="3"/>
  <c r="V67" i="3"/>
  <c r="V71" i="3"/>
  <c r="V60" i="3"/>
  <c r="V47" i="3"/>
  <c r="V64" i="3"/>
  <c r="V68" i="3"/>
  <c r="V72" i="3"/>
  <c r="V59" i="3"/>
  <c r="V49" i="3"/>
  <c r="V51" i="3"/>
  <c r="V53" i="3"/>
  <c r="V55" i="3"/>
  <c r="R63" i="3"/>
  <c r="R67" i="3"/>
  <c r="R71" i="3"/>
  <c r="R64" i="3"/>
  <c r="R68" i="3"/>
  <c r="R72" i="3"/>
  <c r="R59" i="3"/>
  <c r="R48" i="3"/>
  <c r="R50" i="3"/>
  <c r="R52" i="3"/>
  <c r="R54" i="3"/>
  <c r="R56" i="3"/>
  <c r="R61" i="3"/>
  <c r="R65" i="3"/>
  <c r="R69" i="3"/>
  <c r="R73" i="3"/>
  <c r="R60" i="3"/>
  <c r="R47" i="3"/>
  <c r="R62" i="3"/>
  <c r="R66" i="3"/>
  <c r="R70" i="3"/>
  <c r="R49" i="3"/>
  <c r="R51" i="3"/>
  <c r="R53" i="3"/>
  <c r="R55" i="3"/>
  <c r="N61" i="3"/>
  <c r="N65" i="3"/>
  <c r="N69" i="3"/>
  <c r="N48" i="3"/>
  <c r="N50" i="3"/>
  <c r="N52" i="3"/>
  <c r="N54" i="3"/>
  <c r="N56" i="3"/>
  <c r="N62" i="3"/>
  <c r="N66" i="3"/>
  <c r="N59" i="3"/>
  <c r="N63" i="3"/>
  <c r="N67" i="3"/>
  <c r="N60" i="3"/>
  <c r="N49" i="3"/>
  <c r="N51" i="3"/>
  <c r="N53" i="3"/>
  <c r="N55" i="3"/>
  <c r="N47" i="3"/>
  <c r="N64" i="3"/>
  <c r="N68" i="3"/>
  <c r="L64" i="3"/>
  <c r="L60" i="3"/>
  <c r="L49" i="3"/>
  <c r="L53" i="3"/>
  <c r="L47" i="3"/>
  <c r="L61" i="3"/>
  <c r="L65" i="3"/>
  <c r="L50" i="3"/>
  <c r="L54" i="3"/>
  <c r="L62" i="3"/>
  <c r="L66" i="3"/>
  <c r="L51" i="3"/>
  <c r="L55" i="3"/>
  <c r="L63" i="3"/>
  <c r="L67" i="3"/>
  <c r="L59" i="3"/>
  <c r="L48" i="3"/>
  <c r="L52" i="3"/>
  <c r="H62" i="3"/>
  <c r="H60" i="3"/>
  <c r="H49" i="3"/>
  <c r="H47" i="3"/>
  <c r="H63" i="3"/>
  <c r="H50" i="3"/>
  <c r="H48" i="3"/>
  <c r="H51" i="3"/>
  <c r="H61" i="3"/>
  <c r="H59" i="3"/>
  <c r="D47" i="3"/>
  <c r="D59" i="3"/>
  <c r="N70" i="3"/>
  <c r="J66" i="3"/>
  <c r="F62" i="3"/>
  <c r="I53" i="3"/>
  <c r="E49" i="3"/>
  <c r="Q73" i="3"/>
  <c r="M69" i="3"/>
  <c r="I65" i="3"/>
  <c r="E61" i="3"/>
  <c r="L56" i="3"/>
  <c r="H52" i="3"/>
  <c r="D48" i="3"/>
  <c r="C59" i="3"/>
  <c r="P72" i="3"/>
  <c r="L68" i="3"/>
  <c r="H64" i="3"/>
  <c r="D60" i="3"/>
  <c r="K55" i="3"/>
  <c r="G51" i="3"/>
  <c r="O71" i="3"/>
  <c r="K67" i="3"/>
  <c r="G63" i="3"/>
  <c r="J54" i="3"/>
  <c r="F50" i="3"/>
  <c r="AC62" i="3"/>
  <c r="AC66" i="3"/>
  <c r="AC70" i="3"/>
  <c r="AC48" i="3"/>
  <c r="AC50" i="3"/>
  <c r="AC52" i="3"/>
  <c r="AC54" i="3"/>
  <c r="AC56" i="3"/>
  <c r="AC63" i="3"/>
  <c r="AC67" i="3"/>
  <c r="AC71" i="3"/>
  <c r="AC47" i="3"/>
  <c r="AC60" i="3"/>
  <c r="AC64" i="3"/>
  <c r="AC68" i="3"/>
  <c r="AC72" i="3"/>
  <c r="AC49" i="3"/>
  <c r="AC51" i="3"/>
  <c r="AC53" i="3"/>
  <c r="AC55" i="3"/>
  <c r="AC61" i="3"/>
  <c r="AC65" i="3"/>
  <c r="AC69" i="3"/>
  <c r="AC73" i="3"/>
  <c r="AC59" i="3"/>
  <c r="Y62" i="3"/>
  <c r="Y66" i="3"/>
  <c r="Y70" i="3"/>
  <c r="Y48" i="3"/>
  <c r="Y50" i="3"/>
  <c r="Y52" i="3"/>
  <c r="Y54" i="3"/>
  <c r="Y56" i="3"/>
  <c r="Y63" i="3"/>
  <c r="Y67" i="3"/>
  <c r="Y71" i="3"/>
  <c r="Y47" i="3"/>
  <c r="Y60" i="3"/>
  <c r="Y64" i="3"/>
  <c r="Y68" i="3"/>
  <c r="Y72" i="3"/>
  <c r="Y49" i="3"/>
  <c r="Y51" i="3"/>
  <c r="Y53" i="3"/>
  <c r="Y55" i="3"/>
  <c r="Y61" i="3"/>
  <c r="Y65" i="3"/>
  <c r="Y69" i="3"/>
  <c r="Y73" i="3"/>
  <c r="Y59" i="3"/>
  <c r="U64" i="3"/>
  <c r="U68" i="3"/>
  <c r="U72" i="3"/>
  <c r="U59" i="3"/>
  <c r="U48" i="3"/>
  <c r="U50" i="3"/>
  <c r="U52" i="3"/>
  <c r="U54" i="3"/>
  <c r="U56" i="3"/>
  <c r="U61" i="3"/>
  <c r="U65" i="3"/>
  <c r="U69" i="3"/>
  <c r="U73" i="3"/>
  <c r="U60" i="3"/>
  <c r="U47" i="3"/>
  <c r="U62" i="3"/>
  <c r="U66" i="3"/>
  <c r="U70" i="3"/>
  <c r="U49" i="3"/>
  <c r="U51" i="3"/>
  <c r="U53" i="3"/>
  <c r="U55" i="3"/>
  <c r="U63" i="3"/>
  <c r="U67" i="3"/>
  <c r="U71" i="3"/>
  <c r="Q62" i="3"/>
  <c r="Q66" i="3"/>
  <c r="Q70" i="3"/>
  <c r="Q59" i="3"/>
  <c r="Q48" i="3"/>
  <c r="Q50" i="3"/>
  <c r="Q52" i="3"/>
  <c r="Q54" i="3"/>
  <c r="Q56" i="3"/>
  <c r="Q63" i="3"/>
  <c r="Q67" i="3"/>
  <c r="Q71" i="3"/>
  <c r="Q60" i="3"/>
  <c r="Q47" i="3"/>
  <c r="Q64" i="3"/>
  <c r="Q68" i="3"/>
  <c r="Q72" i="3"/>
  <c r="Q49" i="3"/>
  <c r="Q51" i="3"/>
  <c r="Q53" i="3"/>
  <c r="Q55" i="3"/>
  <c r="Q61" i="3"/>
  <c r="Q65" i="3"/>
  <c r="Q69" i="3"/>
  <c r="M64" i="3"/>
  <c r="M68" i="3"/>
  <c r="M59" i="3"/>
  <c r="M61" i="3"/>
  <c r="M65" i="3"/>
  <c r="M60" i="3"/>
  <c r="M49" i="3"/>
  <c r="M51" i="3"/>
  <c r="M53" i="3"/>
  <c r="M55" i="3"/>
  <c r="M47" i="3"/>
  <c r="M62" i="3"/>
  <c r="M66" i="3"/>
  <c r="M63" i="3"/>
  <c r="M67" i="3"/>
  <c r="M48" i="3"/>
  <c r="M50" i="3"/>
  <c r="M52" i="3"/>
  <c r="M54" i="3"/>
  <c r="M56" i="3"/>
  <c r="K61" i="3"/>
  <c r="K65" i="3"/>
  <c r="K48" i="3"/>
  <c r="K52" i="3"/>
  <c r="K62" i="3"/>
  <c r="K66" i="3"/>
  <c r="K49" i="3"/>
  <c r="K53" i="3"/>
  <c r="K63" i="3"/>
  <c r="K59" i="3"/>
  <c r="K50" i="3"/>
  <c r="K54" i="3"/>
  <c r="K64" i="3"/>
  <c r="K60" i="3"/>
  <c r="K51" i="3"/>
  <c r="K47" i="3"/>
  <c r="G50" i="3"/>
  <c r="G48" i="3"/>
  <c r="G61" i="3"/>
  <c r="G59" i="3"/>
  <c r="G62" i="3"/>
  <c r="G60" i="3"/>
  <c r="G49" i="3"/>
  <c r="G47" i="3"/>
  <c r="AF63" i="3"/>
  <c r="AF67" i="3"/>
  <c r="AF71" i="3"/>
  <c r="AF47" i="3"/>
  <c r="AF60" i="3"/>
  <c r="AF64" i="3"/>
  <c r="AF68" i="3"/>
  <c r="AF72" i="3"/>
  <c r="AF49" i="3"/>
  <c r="AF51" i="3"/>
  <c r="AF53" i="3"/>
  <c r="AF55" i="3"/>
  <c r="AF61" i="3"/>
  <c r="AF65" i="3"/>
  <c r="AF69" i="3"/>
  <c r="AF73" i="3"/>
  <c r="AF59" i="3"/>
  <c r="AF62" i="3"/>
  <c r="AF66" i="3"/>
  <c r="AF70" i="3"/>
  <c r="AF48" i="3"/>
  <c r="AF50" i="3"/>
  <c r="AF52" i="3"/>
  <c r="AF54" i="3"/>
  <c r="AF56" i="3"/>
  <c r="AB63" i="3"/>
  <c r="AB67" i="3"/>
  <c r="AB71" i="3"/>
  <c r="AB47" i="3"/>
  <c r="AB60" i="3"/>
  <c r="AB64" i="3"/>
  <c r="AB68" i="3"/>
  <c r="AB72" i="3"/>
  <c r="AB49" i="3"/>
  <c r="AB51" i="3"/>
  <c r="AB53" i="3"/>
  <c r="AB55" i="3"/>
  <c r="AB61" i="3"/>
  <c r="AB65" i="3"/>
  <c r="AB69" i="3"/>
  <c r="AB73" i="3"/>
  <c r="AB59" i="3"/>
  <c r="AB62" i="3"/>
  <c r="AB66" i="3"/>
  <c r="AB70" i="3"/>
  <c r="AB48" i="3"/>
  <c r="AB50" i="3"/>
  <c r="AB52" i="3"/>
  <c r="AB54" i="3"/>
  <c r="AB56" i="3"/>
  <c r="X63" i="3"/>
  <c r="X67" i="3"/>
  <c r="X71" i="3"/>
  <c r="X47" i="3"/>
  <c r="X60" i="3"/>
  <c r="X64" i="3"/>
  <c r="X68" i="3"/>
  <c r="X72" i="3"/>
  <c r="X49" i="3"/>
  <c r="X51" i="3"/>
  <c r="X53" i="3"/>
  <c r="X55" i="3"/>
  <c r="X61" i="3"/>
  <c r="X65" i="3"/>
  <c r="X69" i="3"/>
  <c r="X73" i="3"/>
  <c r="X59" i="3"/>
  <c r="X62" i="3"/>
  <c r="X66" i="3"/>
  <c r="X70" i="3"/>
  <c r="X48" i="3"/>
  <c r="X50" i="3"/>
  <c r="X52" i="3"/>
  <c r="X54" i="3"/>
  <c r="X56" i="3"/>
  <c r="T64" i="3"/>
  <c r="T68" i="3"/>
  <c r="T72" i="3"/>
  <c r="T60" i="3"/>
  <c r="T47" i="3"/>
  <c r="T61" i="3"/>
  <c r="T65" i="3"/>
  <c r="T69" i="3"/>
  <c r="T73" i="3"/>
  <c r="T49" i="3"/>
  <c r="T51" i="3"/>
  <c r="T53" i="3"/>
  <c r="T55" i="3"/>
  <c r="T62" i="3"/>
  <c r="T66" i="3"/>
  <c r="T70" i="3"/>
  <c r="T63" i="3"/>
  <c r="T67" i="3"/>
  <c r="T71" i="3"/>
  <c r="T59" i="3"/>
  <c r="T48" i="3"/>
  <c r="T50" i="3"/>
  <c r="T52" i="3"/>
  <c r="T54" i="3"/>
  <c r="T56" i="3"/>
  <c r="P62" i="3"/>
  <c r="P66" i="3"/>
  <c r="P70" i="3"/>
  <c r="P60" i="3"/>
  <c r="P47" i="3"/>
  <c r="P63" i="3"/>
  <c r="P67" i="3"/>
  <c r="P71" i="3"/>
  <c r="P49" i="3"/>
  <c r="P51" i="3"/>
  <c r="P53" i="3"/>
  <c r="P55" i="3"/>
  <c r="P64" i="3"/>
  <c r="P68" i="3"/>
  <c r="P61" i="3"/>
  <c r="P65" i="3"/>
  <c r="P69" i="3"/>
  <c r="P59" i="3"/>
  <c r="P48" i="3"/>
  <c r="P50" i="3"/>
  <c r="P52" i="3"/>
  <c r="P54" i="3"/>
  <c r="P56" i="3"/>
  <c r="J63" i="3"/>
  <c r="J50" i="3"/>
  <c r="J64" i="3"/>
  <c r="J59" i="3"/>
  <c r="J51" i="3"/>
  <c r="J61" i="3"/>
  <c r="J65" i="3"/>
  <c r="J60" i="3"/>
  <c r="J52" i="3"/>
  <c r="J47" i="3"/>
  <c r="J62" i="3"/>
  <c r="J49" i="3"/>
  <c r="J53" i="3"/>
  <c r="J48" i="3"/>
  <c r="F61" i="3"/>
  <c r="F59" i="3"/>
  <c r="F49" i="3"/>
  <c r="F60" i="3"/>
  <c r="F47" i="3"/>
  <c r="F48" i="3"/>
  <c r="N6" i="12" l="1"/>
  <c r="N8" i="12" s="1"/>
  <c r="AS79" i="3"/>
  <c r="AS13" i="3" s="1"/>
  <c r="Y79" i="3"/>
  <c r="Y13" i="3" s="1"/>
  <c r="AR78" i="3"/>
  <c r="AR13" i="3" s="1"/>
  <c r="X78" i="3"/>
  <c r="X13" i="3" s="1"/>
  <c r="AW83" i="3"/>
  <c r="AW13" i="3" s="1"/>
  <c r="AC83" i="3"/>
  <c r="AC13" i="3" s="1"/>
  <c r="AP76" i="3"/>
  <c r="AP13" i="3" s="1"/>
  <c r="V76" i="3"/>
  <c r="V13" i="3" s="1"/>
  <c r="AQ77" i="3"/>
  <c r="AQ13" i="3" s="1"/>
  <c r="W77" i="3"/>
  <c r="W13" i="3" s="1"/>
  <c r="AV82" i="3"/>
  <c r="AV13" i="3" s="1"/>
  <c r="AB82" i="3"/>
  <c r="AB13" i="3" s="1"/>
  <c r="AT80" i="3"/>
  <c r="AT13" i="3" s="1"/>
  <c r="Z80" i="3"/>
  <c r="Z13" i="3" s="1"/>
  <c r="AU81" i="3"/>
  <c r="AU13" i="3" s="1"/>
  <c r="AA81" i="3"/>
  <c r="AA13" i="3" s="1"/>
  <c r="AX84" i="3"/>
  <c r="AX13" i="3" s="1"/>
  <c r="AD84" i="3"/>
  <c r="AD13" i="3" s="1"/>
  <c r="AY85" i="3"/>
  <c r="AY13" i="3" s="1"/>
  <c r="AE85" i="3"/>
  <c r="AE13" i="3" s="1"/>
  <c r="J6" i="12"/>
  <c r="J8" i="12" s="1"/>
  <c r="R6" i="12"/>
  <c r="R8" i="12" s="1"/>
  <c r="Z6" i="12"/>
  <c r="Z8" i="12" s="1"/>
  <c r="V6" i="12"/>
  <c r="V8" i="12" s="1"/>
  <c r="F6" i="12"/>
  <c r="AD6" i="12"/>
  <c r="AD8" i="12" s="1"/>
  <c r="AG6" i="12"/>
  <c r="AG8" i="12" s="1"/>
  <c r="AW6" i="12"/>
  <c r="AW8" i="12" s="1"/>
  <c r="AZ6" i="12"/>
  <c r="AZ8" i="12" s="1"/>
  <c r="AJ6" i="12"/>
  <c r="AJ8" i="12" s="1"/>
  <c r="AP6" i="12"/>
  <c r="AP8" i="12" s="1"/>
  <c r="AS6" i="12"/>
  <c r="AS8" i="12" s="1"/>
  <c r="AV6" i="12"/>
  <c r="AV8" i="12" s="1"/>
  <c r="AY6" i="12"/>
  <c r="AY8" i="12" s="1"/>
  <c r="AI6" i="12"/>
  <c r="AI8" i="12" s="1"/>
  <c r="AL6" i="12"/>
  <c r="AL8" i="12" s="1"/>
  <c r="AK6" i="12"/>
  <c r="AK8" i="12" s="1"/>
  <c r="AM6" i="12"/>
  <c r="AM8" i="12" s="1"/>
  <c r="AN6" i="12"/>
  <c r="AN8" i="12" s="1"/>
  <c r="AQ6" i="12"/>
  <c r="AQ8" i="12" s="1"/>
  <c r="AT6" i="12"/>
  <c r="AT8" i="12" s="1"/>
  <c r="AO6" i="12"/>
  <c r="AO8" i="12" s="1"/>
  <c r="AR6" i="12"/>
  <c r="AR8" i="12" s="1"/>
  <c r="AU6" i="12"/>
  <c r="AU8" i="12" s="1"/>
  <c r="AX6" i="12"/>
  <c r="AX8" i="12" s="1"/>
  <c r="AH6" i="12"/>
  <c r="AH8" i="12" s="1"/>
  <c r="D6" i="12"/>
  <c r="C6" i="12"/>
  <c r="W6" i="12"/>
  <c r="W8" i="12" s="1"/>
  <c r="X6" i="12"/>
  <c r="X8" i="12" s="1"/>
  <c r="U6" i="12"/>
  <c r="U8" i="12" s="1"/>
  <c r="E6" i="12"/>
  <c r="K6" i="12"/>
  <c r="K8" i="12" s="1"/>
  <c r="L6" i="12"/>
  <c r="L8" i="12" s="1"/>
  <c r="Q6" i="12"/>
  <c r="Q8" i="12" s="1"/>
  <c r="S6" i="12"/>
  <c r="S8" i="12" s="1"/>
  <c r="T6" i="12"/>
  <c r="T8" i="12" s="1"/>
  <c r="AE6" i="12"/>
  <c r="AE8" i="12" s="1"/>
  <c r="AF6" i="12"/>
  <c r="AF8" i="12" s="1"/>
  <c r="AC6" i="12"/>
  <c r="AC8" i="12" s="1"/>
  <c r="M6" i="12"/>
  <c r="M8" i="12" s="1"/>
  <c r="G6" i="12"/>
  <c r="G8" i="12" s="1"/>
  <c r="H6" i="12"/>
  <c r="H8" i="12" s="1"/>
  <c r="O6" i="12"/>
  <c r="O8" i="12" s="1"/>
  <c r="P6" i="12"/>
  <c r="P8" i="12" s="1"/>
  <c r="Y6" i="12"/>
  <c r="Y8" i="12" s="1"/>
  <c r="I6" i="12"/>
  <c r="I8" i="12" s="1"/>
  <c r="AA6" i="12"/>
  <c r="AA8" i="12" s="1"/>
  <c r="AB6" i="12"/>
  <c r="AB8" i="12" s="1"/>
  <c r="W6" i="6" l="1"/>
  <c r="X6" i="6"/>
  <c r="Y6" i="6"/>
  <c r="Z6" i="6"/>
  <c r="AA6" i="6"/>
  <c r="AB6" i="6"/>
  <c r="AC6" i="6"/>
  <c r="AD6" i="6"/>
  <c r="AE6" i="6"/>
  <c r="AF6" i="6"/>
  <c r="W7" i="6" l="1"/>
  <c r="X7" i="6"/>
  <c r="Y7" i="6"/>
  <c r="Z7" i="6"/>
  <c r="AA7" i="6"/>
  <c r="AB7" i="6"/>
  <c r="AC7" i="6"/>
  <c r="AD7" i="6"/>
  <c r="AE7" i="6"/>
  <c r="AF7" i="6"/>
  <c r="V6" i="6" l="1"/>
  <c r="V7" i="6" s="1"/>
  <c r="U6" i="6"/>
  <c r="U7" i="6" s="1"/>
  <c r="T6" i="6"/>
  <c r="T7" i="6" s="1"/>
  <c r="S6" i="6"/>
  <c r="S7" i="6" s="1"/>
  <c r="R6" i="6"/>
  <c r="R7" i="6" s="1"/>
  <c r="Q6" i="6"/>
  <c r="Q7" i="6" s="1"/>
  <c r="P6" i="6"/>
  <c r="P7" i="6" s="1"/>
  <c r="O6" i="6"/>
  <c r="O7" i="6" s="1"/>
  <c r="N6" i="6"/>
  <c r="N7" i="6" s="1"/>
  <c r="M6" i="6"/>
  <c r="M7" i="6" s="1"/>
  <c r="L6" i="6"/>
  <c r="L7" i="6" s="1"/>
  <c r="K6" i="6"/>
  <c r="K7" i="6" s="1"/>
  <c r="J6" i="6"/>
  <c r="J7" i="6" s="1"/>
  <c r="I6" i="6"/>
  <c r="I7" i="6" s="1"/>
  <c r="H6" i="6"/>
  <c r="H7" i="6" s="1"/>
  <c r="G6" i="6"/>
  <c r="G7" i="6" s="1"/>
  <c r="C3" i="11" l="1"/>
  <c r="AN7" i="5" l="1"/>
  <c r="X7" i="5"/>
  <c r="I7" i="5"/>
  <c r="AR7" i="5"/>
  <c r="AW7" i="5"/>
  <c r="D7" i="5"/>
  <c r="AK7" i="5"/>
  <c r="Y7" i="5"/>
  <c r="AL7" i="5"/>
  <c r="AF7" i="5"/>
  <c r="AE7" i="5"/>
  <c r="O7" i="5"/>
  <c r="F7" i="5"/>
  <c r="AM7" i="5"/>
  <c r="AU7" i="5"/>
  <c r="P7" i="5"/>
  <c r="AY7" i="5"/>
  <c r="AO7" i="5"/>
  <c r="S7" i="5"/>
  <c r="V7" i="5"/>
  <c r="AI7" i="5"/>
  <c r="AC7" i="5"/>
  <c r="L7" i="5"/>
  <c r="AH7" i="5"/>
  <c r="AT7" i="5"/>
  <c r="W7" i="5"/>
  <c r="AQ7" i="5"/>
  <c r="K7" i="5"/>
  <c r="E7" i="5"/>
  <c r="H7" i="5"/>
  <c r="AA7" i="5"/>
  <c r="AG7" i="5"/>
  <c r="U7" i="5"/>
  <c r="AV7" i="5"/>
  <c r="Z7" i="5"/>
  <c r="G7" i="5"/>
  <c r="N7" i="5"/>
  <c r="AZ7" i="5"/>
  <c r="AD7" i="5"/>
  <c r="AJ7" i="5"/>
  <c r="AX7" i="5"/>
  <c r="R7" i="5"/>
  <c r="Q7" i="5"/>
  <c r="AP7" i="5"/>
  <c r="M7" i="5"/>
  <c r="AB7" i="5"/>
  <c r="AS7" i="5"/>
  <c r="C7" i="5"/>
  <c r="C8" i="5" s="1"/>
  <c r="T7" i="5"/>
  <c r="J7" i="5"/>
  <c r="C12" i="5" l="1"/>
  <c r="C13" i="5" s="1"/>
  <c r="C21" i="5" s="1"/>
  <c r="AA8" i="5"/>
  <c r="AK8" i="5"/>
  <c r="AN8" i="5"/>
  <c r="F8" i="5"/>
  <c r="AR8" i="5"/>
  <c r="K8" i="5"/>
  <c r="N8" i="5"/>
  <c r="N12" i="5" s="1"/>
  <c r="N13" i="5" s="1"/>
  <c r="N21" i="5" s="1"/>
  <c r="V8" i="5"/>
  <c r="AH8" i="5"/>
  <c r="AT8" i="5"/>
  <c r="X8" i="5"/>
  <c r="R8" i="5"/>
  <c r="AI8" i="5"/>
  <c r="AI12" i="5" s="1"/>
  <c r="AI13" i="5" s="1"/>
  <c r="AI21" i="5" s="1"/>
  <c r="AF8" i="5"/>
  <c r="AF12" i="5" s="1"/>
  <c r="AF13" i="5" s="1"/>
  <c r="AF21" i="5" s="1"/>
  <c r="O8" i="5"/>
  <c r="L8" i="5"/>
  <c r="L12" i="5" s="1"/>
  <c r="L13" i="5" s="1"/>
  <c r="L21" i="5" s="1"/>
  <c r="H8" i="5"/>
  <c r="AC8" i="5"/>
  <c r="AC12" i="5" s="1"/>
  <c r="AC13" i="5" s="1"/>
  <c r="AC21" i="5" s="1"/>
  <c r="AE8" i="5"/>
  <c r="U8" i="5"/>
  <c r="U12" i="5" s="1"/>
  <c r="U13" i="5" s="1"/>
  <c r="U21" i="5" s="1"/>
  <c r="AQ8" i="5"/>
  <c r="S8" i="5"/>
  <c r="AY8" i="5"/>
  <c r="AW8" i="5"/>
  <c r="I8" i="5"/>
  <c r="D8" i="5"/>
  <c r="D12" i="5" s="1"/>
  <c r="D13" i="5" s="1"/>
  <c r="D21" i="5" s="1"/>
  <c r="AB8" i="5"/>
  <c r="AB12" i="5" s="1"/>
  <c r="AB13" i="5" s="1"/>
  <c r="AB21" i="5" s="1"/>
  <c r="AU8" i="5"/>
  <c r="AU12" i="5" s="1"/>
  <c r="AU13" i="5" s="1"/>
  <c r="AU21" i="5" s="1"/>
  <c r="M8" i="5"/>
  <c r="M12" i="5" s="1"/>
  <c r="M13" i="5" s="1"/>
  <c r="M21" i="5" s="1"/>
  <c r="AJ8" i="5"/>
  <c r="AJ12" i="5" s="1"/>
  <c r="AJ13" i="5" s="1"/>
  <c r="AJ21" i="5" s="1"/>
  <c r="P8" i="5"/>
  <c r="P12" i="5" s="1"/>
  <c r="P13" i="5" s="1"/>
  <c r="P21" i="5" s="1"/>
  <c r="AG8" i="5"/>
  <c r="AG12" i="5" s="1"/>
  <c r="AG13" i="5" s="1"/>
  <c r="AG21" i="5" s="1"/>
  <c r="Y8" i="5"/>
  <c r="Y12" i="5" s="1"/>
  <c r="Y13" i="5" s="1"/>
  <c r="Y21" i="5" s="1"/>
  <c r="T8" i="5"/>
  <c r="T12" i="5" s="1"/>
  <c r="T13" i="5" s="1"/>
  <c r="T21" i="5" s="1"/>
  <c r="AZ8" i="5"/>
  <c r="AZ12" i="5" s="1"/>
  <c r="AZ13" i="5" s="1"/>
  <c r="AZ21" i="5" s="1"/>
  <c r="AV8" i="5"/>
  <c r="AV12" i="5" s="1"/>
  <c r="AV13" i="5" s="1"/>
  <c r="AV21" i="5" s="1"/>
  <c r="Z8" i="5"/>
  <c r="Z12" i="5" s="1"/>
  <c r="Z13" i="5" s="1"/>
  <c r="Z21" i="5" s="1"/>
  <c r="AX8" i="5"/>
  <c r="AX12" i="5" s="1"/>
  <c r="AX13" i="5" s="1"/>
  <c r="AX21" i="5" s="1"/>
  <c r="J8" i="5"/>
  <c r="J12" i="5" s="1"/>
  <c r="J13" i="5" s="1"/>
  <c r="J21" i="5" s="1"/>
  <c r="AD8" i="5"/>
  <c r="AD12" i="5" s="1"/>
  <c r="AD13" i="5" s="1"/>
  <c r="AD21" i="5" s="1"/>
  <c r="W8" i="5"/>
  <c r="W12" i="5" s="1"/>
  <c r="W13" i="5" s="1"/>
  <c r="W21" i="5" s="1"/>
  <c r="AP8" i="5"/>
  <c r="AP12" i="5" s="1"/>
  <c r="AP13" i="5" s="1"/>
  <c r="AP21" i="5" s="1"/>
  <c r="Q8" i="5"/>
  <c r="Q12" i="5" s="1"/>
  <c r="Q13" i="5" s="1"/>
  <c r="Q21" i="5" s="1"/>
  <c r="G8" i="5"/>
  <c r="G12" i="5" s="1"/>
  <c r="G13" i="5" s="1"/>
  <c r="G21" i="5" s="1"/>
  <c r="AM8" i="5"/>
  <c r="AM12" i="5" s="1"/>
  <c r="AM13" i="5" s="1"/>
  <c r="AM21" i="5" s="1"/>
  <c r="AL8" i="5"/>
  <c r="AL12" i="5" s="1"/>
  <c r="AL13" i="5" s="1"/>
  <c r="AL21" i="5" s="1"/>
  <c r="E8" i="5"/>
  <c r="E12" i="5" s="1"/>
  <c r="E13" i="5" s="1"/>
  <c r="E21" i="5" s="1"/>
  <c r="AS8" i="5"/>
  <c r="AS12" i="5" s="1"/>
  <c r="AS13" i="5" s="1"/>
  <c r="AS21" i="5" s="1"/>
  <c r="AO8" i="5"/>
  <c r="AO12" i="5" s="1"/>
  <c r="AO13" i="5" s="1"/>
  <c r="AO21" i="5" s="1"/>
  <c r="AW6" i="11" l="1"/>
  <c r="AW12" i="5"/>
  <c r="AW13" i="5" s="1"/>
  <c r="AW21" i="5" s="1"/>
  <c r="R18" i="7"/>
  <c r="R12" i="5"/>
  <c r="R13" i="5" s="1"/>
  <c r="R21" i="5" s="1"/>
  <c r="V6" i="11"/>
  <c r="V7" i="12" s="1"/>
  <c r="V12" i="5"/>
  <c r="V13" i="5" s="1"/>
  <c r="V21" i="5" s="1"/>
  <c r="F6" i="11"/>
  <c r="F7" i="12" s="1"/>
  <c r="F12" i="5"/>
  <c r="F13" i="5" s="1"/>
  <c r="F21" i="5" s="1"/>
  <c r="AY6" i="11"/>
  <c r="AY7" i="12" s="1"/>
  <c r="AY12" i="5"/>
  <c r="AY13" i="5" s="1"/>
  <c r="AY21" i="5" s="1"/>
  <c r="AE18" i="7"/>
  <c r="AE12" i="5"/>
  <c r="AE13" i="5" s="1"/>
  <c r="AE21" i="5" s="1"/>
  <c r="O6" i="11"/>
  <c r="O7" i="12" s="1"/>
  <c r="O12" i="5"/>
  <c r="O13" i="5" s="1"/>
  <c r="O21" i="5" s="1"/>
  <c r="X18" i="7"/>
  <c r="X12" i="5"/>
  <c r="X13" i="5" s="1"/>
  <c r="X21" i="5" s="1"/>
  <c r="AN18" i="7"/>
  <c r="AN12" i="5"/>
  <c r="AN13" i="5" s="1"/>
  <c r="AN21" i="5" s="1"/>
  <c r="S18" i="7"/>
  <c r="S12" i="5"/>
  <c r="S13" i="5" s="1"/>
  <c r="S21" i="5" s="1"/>
  <c r="AT6" i="11"/>
  <c r="AT7" i="12" s="1"/>
  <c r="AT12" i="5"/>
  <c r="AT13" i="5" s="1"/>
  <c r="AT21" i="5" s="1"/>
  <c r="K6" i="11"/>
  <c r="K7" i="12" s="1"/>
  <c r="K12" i="5"/>
  <c r="K13" i="5" s="1"/>
  <c r="K21" i="5" s="1"/>
  <c r="AK18" i="7"/>
  <c r="AK12" i="5"/>
  <c r="AK13" i="5" s="1"/>
  <c r="AK21" i="5" s="1"/>
  <c r="I6" i="11"/>
  <c r="I12" i="5"/>
  <c r="I13" i="5" s="1"/>
  <c r="I21" i="5" s="1"/>
  <c r="AQ6" i="11"/>
  <c r="AQ7" i="12" s="1"/>
  <c r="AQ12" i="5"/>
  <c r="AQ13" i="5" s="1"/>
  <c r="AQ21" i="5" s="1"/>
  <c r="H18" i="7"/>
  <c r="H12" i="5"/>
  <c r="H13" i="5" s="1"/>
  <c r="H21" i="5" s="1"/>
  <c r="AH6" i="11"/>
  <c r="AH7" i="12" s="1"/>
  <c r="AH12" i="5"/>
  <c r="AH13" i="5" s="1"/>
  <c r="AH21" i="5" s="1"/>
  <c r="AR6" i="11"/>
  <c r="AR7" i="12" s="1"/>
  <c r="AR12" i="5"/>
  <c r="AR13" i="5" s="1"/>
  <c r="AR21" i="5" s="1"/>
  <c r="AA18" i="7"/>
  <c r="AA12" i="5"/>
  <c r="AA13" i="5" s="1"/>
  <c r="AA21" i="5" s="1"/>
  <c r="AA6" i="11"/>
  <c r="AA7" i="12" s="1"/>
  <c r="AK6" i="11"/>
  <c r="AK7" i="12" s="1"/>
  <c r="AH18" i="7"/>
  <c r="N6" i="11"/>
  <c r="N18" i="7"/>
  <c r="AN6" i="11"/>
  <c r="AN7" i="12" s="1"/>
  <c r="K18" i="7"/>
  <c r="AF6" i="11"/>
  <c r="V18" i="7"/>
  <c r="AR18" i="7"/>
  <c r="AT18" i="7"/>
  <c r="AC18" i="7"/>
  <c r="AF18" i="7"/>
  <c r="R6" i="11"/>
  <c r="R7" i="12" s="1"/>
  <c r="L6" i="11"/>
  <c r="U18" i="7"/>
  <c r="L18" i="7"/>
  <c r="AW18" i="7"/>
  <c r="O18" i="7"/>
  <c r="X6" i="11"/>
  <c r="AI6" i="11"/>
  <c r="AI18" i="7"/>
  <c r="H6" i="11"/>
  <c r="S6" i="11"/>
  <c r="S7" i="12" s="1"/>
  <c r="AC6" i="11"/>
  <c r="U6" i="11"/>
  <c r="U7" i="12" s="1"/>
  <c r="I18" i="7"/>
  <c r="AQ18" i="7"/>
  <c r="AE6" i="11"/>
  <c r="AE7" i="12" s="1"/>
  <c r="AY18" i="7"/>
  <c r="AO18" i="7"/>
  <c r="AO6" i="11"/>
  <c r="AM18" i="7"/>
  <c r="AM6" i="11"/>
  <c r="Q18" i="7"/>
  <c r="Q6" i="11"/>
  <c r="I7" i="12"/>
  <c r="AS18" i="7"/>
  <c r="AS6" i="11"/>
  <c r="G18" i="7"/>
  <c r="G6" i="11"/>
  <c r="AP18" i="7"/>
  <c r="AP6" i="11"/>
  <c r="W18" i="7"/>
  <c r="W6" i="11"/>
  <c r="AZ18" i="7"/>
  <c r="AZ6" i="11"/>
  <c r="Y18" i="7"/>
  <c r="Y6" i="11"/>
  <c r="P6" i="11"/>
  <c r="P18" i="7"/>
  <c r="M18" i="7"/>
  <c r="M6" i="11"/>
  <c r="AD6" i="11"/>
  <c r="AD18" i="7"/>
  <c r="T18" i="7"/>
  <c r="T6" i="11"/>
  <c r="AG18" i="7"/>
  <c r="AG6" i="11"/>
  <c r="AU18" i="7"/>
  <c r="AU6" i="11"/>
  <c r="E6" i="11"/>
  <c r="AW7" i="12"/>
  <c r="J6" i="11"/>
  <c r="J18" i="7"/>
  <c r="Z6" i="11"/>
  <c r="Z18" i="7"/>
  <c r="AB18" i="7"/>
  <c r="AB6" i="11"/>
  <c r="C6" i="11"/>
  <c r="AL18" i="7"/>
  <c r="AL6" i="11"/>
  <c r="AX18" i="7"/>
  <c r="AX6" i="11"/>
  <c r="AV18" i="7"/>
  <c r="AV6" i="11"/>
  <c r="AJ18" i="7"/>
  <c r="AJ6" i="11"/>
  <c r="D6" i="11"/>
  <c r="N7" i="12" l="1"/>
  <c r="X7" i="12"/>
  <c r="AF7" i="12"/>
  <c r="L7" i="12"/>
  <c r="AI7" i="12"/>
  <c r="AC7" i="12"/>
  <c r="H7" i="12"/>
  <c r="C7" i="12"/>
  <c r="AG7" i="12"/>
  <c r="Y7" i="12"/>
  <c r="AO7" i="12"/>
  <c r="D7" i="12"/>
  <c r="AB7" i="12"/>
  <c r="Z7" i="12"/>
  <c r="J7" i="12"/>
  <c r="AD7" i="12"/>
  <c r="M7" i="12"/>
  <c r="P7" i="12"/>
  <c r="Q7" i="12"/>
  <c r="AM7" i="12"/>
  <c r="AJ7" i="12"/>
  <c r="AV7" i="12"/>
  <c r="AX7" i="12"/>
  <c r="AL7" i="12"/>
  <c r="AU7" i="12"/>
  <c r="T7" i="12"/>
  <c r="AZ7" i="12"/>
  <c r="E7" i="12"/>
  <c r="W7" i="12"/>
  <c r="AP7" i="12"/>
  <c r="G7" i="12"/>
  <c r="AS7" i="12"/>
  <c r="F83" i="13" l="1"/>
  <c r="F87" i="13" s="1"/>
  <c r="D83" i="13"/>
  <c r="D87" i="13" s="1"/>
  <c r="E83" i="13"/>
  <c r="E87" i="13" s="1"/>
  <c r="C83" i="13"/>
  <c r="E91" i="13"/>
  <c r="D91" i="13"/>
  <c r="E4" i="12"/>
  <c r="E8" i="12" s="1"/>
  <c r="F91" i="13"/>
  <c r="F4" i="12"/>
  <c r="F8" i="12" s="1"/>
  <c r="C91" i="13"/>
  <c r="D4" i="12"/>
  <c r="D8" i="12" s="1"/>
  <c r="C148" i="13"/>
  <c r="C15" i="7" s="1"/>
  <c r="D148" i="13"/>
  <c r="D15" i="7" s="1"/>
  <c r="E148" i="13"/>
  <c r="E15" i="7" s="1"/>
  <c r="E76" i="7" s="1"/>
  <c r="D143" i="13"/>
  <c r="D16" i="7" s="1"/>
  <c r="F148" i="13"/>
  <c r="F15" i="7" s="1"/>
  <c r="F143" i="13"/>
  <c r="F16" i="7" s="1"/>
  <c r="F18" i="7" s="1"/>
  <c r="E143" i="13"/>
  <c r="E16" i="7" s="1"/>
  <c r="F79" i="13"/>
  <c r="E79" i="13"/>
  <c r="D79" i="13"/>
  <c r="C143" i="13"/>
  <c r="C16" i="7" s="1"/>
  <c r="C79" i="13"/>
  <c r="C4" i="12"/>
  <c r="C8" i="12" s="1"/>
  <c r="K27" i="7" l="1"/>
  <c r="K28" i="7" s="1"/>
  <c r="AP27" i="7"/>
  <c r="AP28" i="7" s="1"/>
  <c r="AP29" i="7" s="1"/>
  <c r="G27" i="7"/>
  <c r="G28" i="7" s="1"/>
  <c r="O27" i="7"/>
  <c r="O28" i="7" s="1"/>
  <c r="S27" i="7"/>
  <c r="S28" i="7" s="1"/>
  <c r="W27" i="7"/>
  <c r="W28" i="7" s="1"/>
  <c r="AA27" i="7"/>
  <c r="AA28" i="7" s="1"/>
  <c r="AE27" i="7"/>
  <c r="AE28" i="7" s="1"/>
  <c r="AI27" i="7"/>
  <c r="AI28" i="7" s="1"/>
  <c r="AM27" i="7"/>
  <c r="AM28" i="7" s="1"/>
  <c r="AM29" i="7" s="1"/>
  <c r="AQ27" i="7"/>
  <c r="AQ28" i="7" s="1"/>
  <c r="AQ29" i="7" s="1"/>
  <c r="AU27" i="7"/>
  <c r="AU28" i="7" s="1"/>
  <c r="AU29" i="7" s="1"/>
  <c r="AY27" i="7"/>
  <c r="AY28" i="7" s="1"/>
  <c r="AY29" i="7" s="1"/>
  <c r="J27" i="7"/>
  <c r="J28" i="7" s="1"/>
  <c r="R27" i="7"/>
  <c r="R28" i="7" s="1"/>
  <c r="AH27" i="7"/>
  <c r="AH28" i="7" s="1"/>
  <c r="AX27" i="7"/>
  <c r="AX28" i="7" s="1"/>
  <c r="AX29" i="7" s="1"/>
  <c r="D27" i="7"/>
  <c r="H27" i="7"/>
  <c r="H28" i="7" s="1"/>
  <c r="L27" i="7"/>
  <c r="L28" i="7" s="1"/>
  <c r="P27" i="7"/>
  <c r="P28" i="7" s="1"/>
  <c r="T27" i="7"/>
  <c r="T28" i="7" s="1"/>
  <c r="X27" i="7"/>
  <c r="X28" i="7" s="1"/>
  <c r="AB27" i="7"/>
  <c r="AB28" i="7" s="1"/>
  <c r="AF27" i="7"/>
  <c r="AF28" i="7" s="1"/>
  <c r="AJ27" i="7"/>
  <c r="AJ28" i="7" s="1"/>
  <c r="AN27" i="7"/>
  <c r="AN28" i="7" s="1"/>
  <c r="AN29" i="7" s="1"/>
  <c r="AR27" i="7"/>
  <c r="AR28" i="7" s="1"/>
  <c r="AR29" i="7" s="1"/>
  <c r="AV27" i="7"/>
  <c r="AV28" i="7" s="1"/>
  <c r="AV29" i="7" s="1"/>
  <c r="AZ27" i="7"/>
  <c r="AZ28" i="7" s="1"/>
  <c r="AZ29" i="7" s="1"/>
  <c r="N27" i="7"/>
  <c r="N28" i="7" s="1"/>
  <c r="Z27" i="7"/>
  <c r="Z28" i="7" s="1"/>
  <c r="AL27" i="7"/>
  <c r="AL28" i="7" s="1"/>
  <c r="AL29" i="7" s="1"/>
  <c r="E27" i="7"/>
  <c r="I27" i="7"/>
  <c r="I28" i="7" s="1"/>
  <c r="M27" i="7"/>
  <c r="M28" i="7" s="1"/>
  <c r="Q27" i="7"/>
  <c r="Q28" i="7" s="1"/>
  <c r="U27" i="7"/>
  <c r="U28" i="7" s="1"/>
  <c r="Y27" i="7"/>
  <c r="Y28" i="7" s="1"/>
  <c r="AC27" i="7"/>
  <c r="AC28" i="7" s="1"/>
  <c r="AG27" i="7"/>
  <c r="AG28" i="7" s="1"/>
  <c r="AK27" i="7"/>
  <c r="AK28" i="7" s="1"/>
  <c r="AO27" i="7"/>
  <c r="AO28" i="7" s="1"/>
  <c r="AO29" i="7" s="1"/>
  <c r="AS27" i="7"/>
  <c r="AS28" i="7" s="1"/>
  <c r="AS29" i="7" s="1"/>
  <c r="AW27" i="7"/>
  <c r="AW28" i="7" s="1"/>
  <c r="AW29" i="7" s="1"/>
  <c r="C27" i="7"/>
  <c r="F27" i="7"/>
  <c r="F28" i="7" s="1"/>
  <c r="V27" i="7"/>
  <c r="V28" i="7" s="1"/>
  <c r="AD27" i="7"/>
  <c r="AD28" i="7" s="1"/>
  <c r="AT27" i="7"/>
  <c r="AT28" i="7" s="1"/>
  <c r="AT29" i="7" s="1"/>
  <c r="D18" i="7"/>
  <c r="C18" i="7"/>
  <c r="E18" i="7"/>
  <c r="C6" i="7"/>
  <c r="C4" i="6"/>
  <c r="E4" i="6"/>
  <c r="E6" i="7"/>
  <c r="D4" i="6"/>
  <c r="D6" i="7"/>
  <c r="F4" i="6"/>
  <c r="F6" i="7"/>
  <c r="E3" i="6"/>
  <c r="E5" i="7"/>
  <c r="C5" i="6"/>
  <c r="C7" i="7"/>
  <c r="F5" i="6"/>
  <c r="F7" i="7"/>
  <c r="C3" i="6"/>
  <c r="C5" i="7"/>
  <c r="F3" i="6"/>
  <c r="F5" i="7"/>
  <c r="E8" i="18"/>
  <c r="E14" i="18" s="1"/>
  <c r="D7" i="7"/>
  <c r="D3" i="6"/>
  <c r="D5" i="7"/>
  <c r="E5" i="6"/>
  <c r="E7" i="7"/>
  <c r="C76" i="7"/>
  <c r="F7" i="18"/>
  <c r="F12" i="18" s="1"/>
  <c r="F89" i="7"/>
  <c r="F78" i="7"/>
  <c r="F77" i="7"/>
  <c r="F90" i="7"/>
  <c r="F88" i="7"/>
  <c r="F76" i="7"/>
  <c r="D7" i="18"/>
  <c r="D13" i="18" s="1"/>
  <c r="D76" i="7"/>
  <c r="D88" i="7"/>
  <c r="E7" i="18"/>
  <c r="G7" i="18"/>
  <c r="G12" i="18" s="1"/>
  <c r="E77" i="7"/>
  <c r="E89" i="7"/>
  <c r="E88" i="7"/>
  <c r="E78" i="7"/>
  <c r="K84" i="7"/>
  <c r="H81" i="7"/>
  <c r="Q102" i="7"/>
  <c r="F79" i="7"/>
  <c r="J83" i="7"/>
  <c r="F91" i="7"/>
  <c r="J95" i="7"/>
  <c r="I82" i="7"/>
  <c r="L97" i="7"/>
  <c r="G92" i="7"/>
  <c r="K96" i="7"/>
  <c r="E90" i="7"/>
  <c r="H93" i="7"/>
  <c r="G80" i="7"/>
  <c r="I94" i="7"/>
  <c r="N99" i="7"/>
  <c r="M98" i="7"/>
  <c r="P101" i="7"/>
  <c r="L85" i="7"/>
  <c r="D89" i="7"/>
  <c r="D77" i="7"/>
  <c r="O100" i="7"/>
  <c r="C88" i="7"/>
  <c r="D8" i="18"/>
  <c r="D14" i="18" s="1"/>
  <c r="G8" i="18"/>
  <c r="G14" i="18" s="1"/>
  <c r="D5" i="6"/>
  <c r="F8" i="18"/>
  <c r="F14" i="18" s="1"/>
  <c r="AD29" i="7" l="1"/>
  <c r="AG29" i="7"/>
  <c r="V29" i="7"/>
  <c r="AC29" i="7"/>
  <c r="M29" i="7"/>
  <c r="Z29" i="7"/>
  <c r="AB29" i="7"/>
  <c r="L29" i="7"/>
  <c r="AH29" i="7"/>
  <c r="AE29" i="7"/>
  <c r="O29" i="7"/>
  <c r="I29" i="7"/>
  <c r="N29" i="7"/>
  <c r="X29" i="7"/>
  <c r="H29" i="7"/>
  <c r="R29" i="7"/>
  <c r="AA29" i="7"/>
  <c r="G29" i="7"/>
  <c r="F29" i="7"/>
  <c r="Y29" i="7"/>
  <c r="AK29" i="7"/>
  <c r="U29" i="7"/>
  <c r="AJ29" i="7"/>
  <c r="T29" i="7"/>
  <c r="J29" i="7"/>
  <c r="W29" i="7"/>
  <c r="Q29" i="7"/>
  <c r="AF29" i="7"/>
  <c r="P29" i="7"/>
  <c r="AI29" i="7"/>
  <c r="S29" i="7"/>
  <c r="K29" i="7"/>
  <c r="AD113" i="7"/>
  <c r="AD21" i="7" s="1"/>
  <c r="AX113" i="7"/>
  <c r="AX21" i="7" s="1"/>
  <c r="AB111" i="7"/>
  <c r="AB21" i="7" s="1"/>
  <c r="AV111" i="7"/>
  <c r="AV21" i="7" s="1"/>
  <c r="Y108" i="7"/>
  <c r="Y21" i="7" s="1"/>
  <c r="AS108" i="7"/>
  <c r="AS21" i="7" s="1"/>
  <c r="X107" i="7"/>
  <c r="X21" i="7" s="1"/>
  <c r="AR107" i="7"/>
  <c r="AR21" i="7" s="1"/>
  <c r="V105" i="7"/>
  <c r="V21" i="7" s="1"/>
  <c r="AP105" i="7"/>
  <c r="AP21" i="7" s="1"/>
  <c r="W106" i="7"/>
  <c r="W21" i="7" s="1"/>
  <c r="AQ106" i="7"/>
  <c r="AQ21" i="7" s="1"/>
  <c r="AC112" i="7"/>
  <c r="AC21" i="7" s="1"/>
  <c r="AW112" i="7"/>
  <c r="AW21" i="7" s="1"/>
  <c r="AE114" i="7"/>
  <c r="AE21" i="7" s="1"/>
  <c r="AY114" i="7"/>
  <c r="AY21" i="7" s="1"/>
  <c r="Z109" i="7"/>
  <c r="Z21" i="7" s="1"/>
  <c r="AT109" i="7"/>
  <c r="AT21" i="7" s="1"/>
  <c r="AA110" i="7"/>
  <c r="AA21" i="7" s="1"/>
  <c r="AU110" i="7"/>
  <c r="AU21" i="7" s="1"/>
  <c r="D6" i="6"/>
  <c r="D7" i="6" s="1"/>
  <c r="D8" i="6" s="1"/>
  <c r="C28" i="7"/>
  <c r="E28" i="7"/>
  <c r="D28" i="7"/>
  <c r="C6" i="6"/>
  <c r="C7" i="6" s="1"/>
  <c r="E6" i="6"/>
  <c r="E7" i="6" s="1"/>
  <c r="D8" i="7"/>
  <c r="D9" i="7" s="1"/>
  <c r="D10" i="7" s="1"/>
  <c r="C8" i="7"/>
  <c r="C9" i="7" s="1"/>
  <c r="F6" i="6"/>
  <c r="F7" i="6" s="1"/>
  <c r="F8" i="7"/>
  <c r="F9" i="7" s="1"/>
  <c r="E8" i="7"/>
  <c r="E9" i="7" s="1"/>
  <c r="E12" i="18"/>
  <c r="E13" i="18" s="1"/>
  <c r="D12" i="18"/>
  <c r="D17" i="18" s="1"/>
  <c r="D15" i="18"/>
  <c r="D29" i="7" l="1"/>
  <c r="E29" i="7"/>
  <c r="C29" i="7"/>
  <c r="F13" i="18"/>
  <c r="G13" i="18" s="1"/>
  <c r="G15" i="18" s="1"/>
  <c r="E15" i="18"/>
  <c r="E10" i="7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AG10" i="7" s="1"/>
  <c r="AH10" i="7" s="1"/>
  <c r="AI10" i="7" s="1"/>
  <c r="AJ10" i="7" s="1"/>
  <c r="AK10" i="7" s="1"/>
  <c r="AL10" i="7" s="1"/>
  <c r="AM10" i="7" s="1"/>
  <c r="AN10" i="7" s="1"/>
  <c r="AO10" i="7" s="1"/>
  <c r="AP10" i="7" s="1"/>
  <c r="AQ10" i="7" s="1"/>
  <c r="AR10" i="7" s="1"/>
  <c r="AS10" i="7" s="1"/>
  <c r="AT10" i="7" s="1"/>
  <c r="AU10" i="7" s="1"/>
  <c r="AV10" i="7" s="1"/>
  <c r="AW10" i="7" s="1"/>
  <c r="AX10" i="7" s="1"/>
  <c r="AY10" i="7" s="1"/>
  <c r="AZ10" i="7" s="1"/>
  <c r="C2" i="5"/>
  <c r="C3" i="5" s="1"/>
  <c r="E17" i="18"/>
  <c r="F17" i="18" s="1"/>
  <c r="G17" i="18" s="1"/>
  <c r="H17" i="18" s="1"/>
  <c r="I17" i="18" s="1"/>
  <c r="J17" i="18" s="1"/>
  <c r="K17" i="18" s="1"/>
  <c r="L17" i="18" s="1"/>
  <c r="M17" i="18" s="1"/>
  <c r="N17" i="18" s="1"/>
  <c r="O17" i="18" s="1"/>
  <c r="P17" i="18" s="1"/>
  <c r="Q17" i="18" s="1"/>
  <c r="R17" i="18" s="1"/>
  <c r="S17" i="18" s="1"/>
  <c r="T17" i="18" s="1"/>
  <c r="U17" i="18" s="1"/>
  <c r="V17" i="18" s="1"/>
  <c r="W17" i="18" s="1"/>
  <c r="X17" i="18" s="1"/>
  <c r="Y17" i="18" s="1"/>
  <c r="Z17" i="18" s="1"/>
  <c r="AA17" i="18" s="1"/>
  <c r="AB17" i="18" s="1"/>
  <c r="AC17" i="18" s="1"/>
  <c r="AD17" i="18" s="1"/>
  <c r="AE17" i="18" s="1"/>
  <c r="AF17" i="18" s="1"/>
  <c r="AG17" i="18" s="1"/>
  <c r="AH17" i="18" s="1"/>
  <c r="AI17" i="18" s="1"/>
  <c r="AJ17" i="18" s="1"/>
  <c r="AK17" i="18" s="1"/>
  <c r="AL17" i="18" s="1"/>
  <c r="AM17" i="18" s="1"/>
  <c r="AN17" i="18" s="1"/>
  <c r="AO17" i="18" s="1"/>
  <c r="AP17" i="18" s="1"/>
  <c r="AQ17" i="18" s="1"/>
  <c r="AR17" i="18" s="1"/>
  <c r="AS17" i="18" s="1"/>
  <c r="AT17" i="18" s="1"/>
  <c r="AU17" i="18" s="1"/>
  <c r="AV17" i="18" s="1"/>
  <c r="AW17" i="18" s="1"/>
  <c r="AX17" i="18" s="1"/>
  <c r="AY17" i="18" s="1"/>
  <c r="AZ17" i="18" s="1"/>
  <c r="AZ18" i="18" s="1"/>
  <c r="D3" i="12"/>
  <c r="D3" i="11"/>
  <c r="E8" i="6"/>
  <c r="H13" i="18" l="1"/>
  <c r="B29" i="7"/>
  <c r="D5" i="13" s="1"/>
  <c r="F15" i="18"/>
  <c r="AP26" i="6"/>
  <c r="C25" i="6"/>
  <c r="C26" i="6"/>
  <c r="AL25" i="6"/>
  <c r="AX25" i="6"/>
  <c r="AC25" i="6"/>
  <c r="AO25" i="6"/>
  <c r="AI25" i="6"/>
  <c r="AD25" i="6"/>
  <c r="AG25" i="6"/>
  <c r="AZ25" i="6"/>
  <c r="T25" i="6"/>
  <c r="W25" i="6"/>
  <c r="Y25" i="6"/>
  <c r="G25" i="6"/>
  <c r="L25" i="6"/>
  <c r="Q25" i="6"/>
  <c r="P25" i="6"/>
  <c r="AP25" i="6"/>
  <c r="AJ25" i="6"/>
  <c r="AF25" i="6"/>
  <c r="AM25" i="6"/>
  <c r="AS25" i="6"/>
  <c r="AV25" i="6"/>
  <c r="AU25" i="6"/>
  <c r="AB25" i="6"/>
  <c r="D25" i="6"/>
  <c r="Z25" i="6"/>
  <c r="M25" i="6"/>
  <c r="U25" i="6"/>
  <c r="E25" i="6"/>
  <c r="J25" i="6"/>
  <c r="N25" i="6"/>
  <c r="AR25" i="6"/>
  <c r="AH25" i="6"/>
  <c r="AT25" i="6"/>
  <c r="AY25" i="6"/>
  <c r="AA25" i="6"/>
  <c r="H25" i="6"/>
  <c r="K25" i="6"/>
  <c r="X25" i="6"/>
  <c r="V25" i="6"/>
  <c r="AE25" i="6"/>
  <c r="AQ25" i="6"/>
  <c r="AN25" i="6"/>
  <c r="AW25" i="6"/>
  <c r="AK25" i="6"/>
  <c r="I25" i="6"/>
  <c r="S25" i="6"/>
  <c r="F25" i="6"/>
  <c r="O25" i="6"/>
  <c r="R25" i="6"/>
  <c r="AG26" i="6"/>
  <c r="AK26" i="6"/>
  <c r="AP19" i="12"/>
  <c r="AW42" i="7"/>
  <c r="C17" i="11"/>
  <c r="AH17" i="11"/>
  <c r="AT19" i="12"/>
  <c r="V17" i="11"/>
  <c r="O42" i="7"/>
  <c r="X17" i="11"/>
  <c r="AG19" i="12"/>
  <c r="D42" i="7"/>
  <c r="N26" i="6"/>
  <c r="AD19" i="12"/>
  <c r="AQ19" i="12"/>
  <c r="AO17" i="11"/>
  <c r="K26" i="6"/>
  <c r="G26" i="6"/>
  <c r="L26" i="6"/>
  <c r="U42" i="7"/>
  <c r="I19" i="12"/>
  <c r="K42" i="7"/>
  <c r="AM42" i="7"/>
  <c r="Z42" i="7"/>
  <c r="AK42" i="7"/>
  <c r="AD17" i="11"/>
  <c r="AW19" i="12"/>
  <c r="N19" i="12"/>
  <c r="L17" i="11"/>
  <c r="AQ17" i="11"/>
  <c r="K17" i="11"/>
  <c r="AB42" i="7"/>
  <c r="AR42" i="7"/>
  <c r="AB19" i="12"/>
  <c r="AZ19" i="12"/>
  <c r="Q26" i="6"/>
  <c r="V19" i="12"/>
  <c r="AL17" i="11"/>
  <c r="AU42" i="7"/>
  <c r="L19" i="12"/>
  <c r="AV19" i="12"/>
  <c r="S26" i="6"/>
  <c r="D17" i="11"/>
  <c r="AJ17" i="11"/>
  <c r="AE19" i="12"/>
  <c r="C19" i="12"/>
  <c r="AK19" i="12"/>
  <c r="H26" i="6"/>
  <c r="E42" i="7"/>
  <c r="Y19" i="12"/>
  <c r="AE42" i="7"/>
  <c r="AA42" i="7"/>
  <c r="S19" i="12"/>
  <c r="W17" i="11"/>
  <c r="AS19" i="12"/>
  <c r="AO19" i="12"/>
  <c r="AH19" i="12"/>
  <c r="AU17" i="11"/>
  <c r="X19" i="12"/>
  <c r="M17" i="11"/>
  <c r="AR19" i="12"/>
  <c r="J17" i="11"/>
  <c r="AC26" i="6"/>
  <c r="AH26" i="6"/>
  <c r="R19" i="12"/>
  <c r="AS26" i="6"/>
  <c r="AU26" i="6"/>
  <c r="F42" i="7"/>
  <c r="I42" i="7"/>
  <c r="N42" i="7"/>
  <c r="Q19" i="12"/>
  <c r="AS17" i="11"/>
  <c r="AC19" i="12"/>
  <c r="AN17" i="11"/>
  <c r="AD26" i="6"/>
  <c r="AX42" i="7"/>
  <c r="AA26" i="6"/>
  <c r="AU19" i="12"/>
  <c r="AM26" i="6"/>
  <c r="S17" i="11"/>
  <c r="AY42" i="7"/>
  <c r="R26" i="6"/>
  <c r="AT17" i="11"/>
  <c r="E19" i="12"/>
  <c r="AI42" i="7"/>
  <c r="T19" i="12"/>
  <c r="AV26" i="6"/>
  <c r="AP42" i="7"/>
  <c r="E17" i="11"/>
  <c r="W26" i="6"/>
  <c r="AZ42" i="7"/>
  <c r="AT26" i="6"/>
  <c r="AW17" i="11"/>
  <c r="Y26" i="6"/>
  <c r="AE17" i="11"/>
  <c r="AF26" i="6"/>
  <c r="AQ26" i="6"/>
  <c r="D19" i="12"/>
  <c r="AV42" i="7"/>
  <c r="AI26" i="6"/>
  <c r="V42" i="7"/>
  <c r="J19" i="12"/>
  <c r="H42" i="7"/>
  <c r="G19" i="12"/>
  <c r="AY19" i="12"/>
  <c r="Z26" i="6"/>
  <c r="AF19" i="12"/>
  <c r="X42" i="7"/>
  <c r="U19" i="12"/>
  <c r="AL26" i="6"/>
  <c r="AK17" i="11"/>
  <c r="Y42" i="7"/>
  <c r="X26" i="6"/>
  <c r="N17" i="11"/>
  <c r="O19" i="12"/>
  <c r="AM17" i="11"/>
  <c r="G17" i="11"/>
  <c r="E26" i="6"/>
  <c r="M42" i="7"/>
  <c r="AY26" i="6"/>
  <c r="AH42" i="7"/>
  <c r="H19" i="12"/>
  <c r="AA19" i="12"/>
  <c r="M19" i="12"/>
  <c r="J42" i="7"/>
  <c r="U17" i="11"/>
  <c r="Z19" i="12"/>
  <c r="AB17" i="11"/>
  <c r="W42" i="7"/>
  <c r="AM19" i="12"/>
  <c r="T42" i="7"/>
  <c r="AQ42" i="7"/>
  <c r="T26" i="6"/>
  <c r="P42" i="7"/>
  <c r="AX26" i="6"/>
  <c r="V26" i="6"/>
  <c r="AJ42" i="7"/>
  <c r="C42" i="7"/>
  <c r="P19" i="12"/>
  <c r="AA17" i="11"/>
  <c r="AI17" i="11"/>
  <c r="AZ26" i="6"/>
  <c r="W19" i="12"/>
  <c r="AL19" i="12"/>
  <c r="AL42" i="7"/>
  <c r="Z17" i="11"/>
  <c r="AZ17" i="11"/>
  <c r="G42" i="7"/>
  <c r="AX17" i="11"/>
  <c r="AB26" i="6"/>
  <c r="L42" i="7"/>
  <c r="M26" i="6"/>
  <c r="K19" i="12"/>
  <c r="J26" i="6"/>
  <c r="P17" i="11"/>
  <c r="AF17" i="11"/>
  <c r="AD42" i="7"/>
  <c r="U26" i="6"/>
  <c r="Y17" i="11"/>
  <c r="AE26" i="6"/>
  <c r="AO42" i="7"/>
  <c r="D26" i="6"/>
  <c r="AF42" i="7"/>
  <c r="AN26" i="6"/>
  <c r="Q42" i="7"/>
  <c r="AN42" i="7"/>
  <c r="O17" i="11"/>
  <c r="AW26" i="6"/>
  <c r="P26" i="6"/>
  <c r="AC42" i="7"/>
  <c r="AX19" i="12"/>
  <c r="AY17" i="11"/>
  <c r="AG17" i="11"/>
  <c r="H17" i="11"/>
  <c r="AG42" i="7"/>
  <c r="AV17" i="11"/>
  <c r="F26" i="6"/>
  <c r="AN19" i="12"/>
  <c r="R17" i="11"/>
  <c r="AO26" i="6"/>
  <c r="S42" i="7"/>
  <c r="I26" i="6"/>
  <c r="R42" i="7"/>
  <c r="O26" i="6"/>
  <c r="AP17" i="11"/>
  <c r="F17" i="11"/>
  <c r="AJ19" i="12"/>
  <c r="I17" i="11"/>
  <c r="T17" i="11"/>
  <c r="AT42" i="7"/>
  <c r="AR17" i="11"/>
  <c r="Q17" i="11"/>
  <c r="AR26" i="6"/>
  <c r="AS42" i="7"/>
  <c r="AC17" i="11"/>
  <c r="AJ26" i="6"/>
  <c r="AI19" i="12"/>
  <c r="F19" i="12"/>
  <c r="E3" i="12"/>
  <c r="E3" i="11"/>
  <c r="F8" i="6"/>
  <c r="H15" i="18"/>
  <c r="I13" i="18"/>
  <c r="I15" i="18" l="1"/>
  <c r="J13" i="18"/>
  <c r="F3" i="11"/>
  <c r="F3" i="12"/>
  <c r="G8" i="6"/>
  <c r="G3" i="12" l="1"/>
  <c r="G3" i="11"/>
  <c r="H8" i="6"/>
  <c r="K13" i="18"/>
  <c r="J15" i="18"/>
  <c r="K15" i="18" l="1"/>
  <c r="L13" i="18"/>
  <c r="H3" i="12"/>
  <c r="H3" i="11"/>
  <c r="I8" i="6"/>
  <c r="I3" i="11" l="1"/>
  <c r="I3" i="12"/>
  <c r="J8" i="6"/>
  <c r="M13" i="18"/>
  <c r="L15" i="18"/>
  <c r="M15" i="18" l="1"/>
  <c r="N13" i="18"/>
  <c r="J3" i="11"/>
  <c r="J3" i="12"/>
  <c r="K8" i="6"/>
  <c r="N15" i="18" l="1"/>
  <c r="O13" i="18"/>
  <c r="K3" i="11"/>
  <c r="K3" i="12"/>
  <c r="L8" i="6"/>
  <c r="L3" i="11" l="1"/>
  <c r="L3" i="12"/>
  <c r="M8" i="6"/>
  <c r="O15" i="18"/>
  <c r="P13" i="18"/>
  <c r="M3" i="12" l="1"/>
  <c r="M3" i="11"/>
  <c r="N8" i="6"/>
  <c r="P15" i="18"/>
  <c r="Q13" i="18"/>
  <c r="N3" i="12" l="1"/>
  <c r="N3" i="11"/>
  <c r="O8" i="6"/>
  <c r="Q15" i="18"/>
  <c r="R13" i="18"/>
  <c r="O3" i="12" l="1"/>
  <c r="O3" i="11"/>
  <c r="P8" i="6"/>
  <c r="R15" i="18"/>
  <c r="S13" i="18"/>
  <c r="P3" i="12" l="1"/>
  <c r="P3" i="11"/>
  <c r="Q8" i="6"/>
  <c r="S15" i="18"/>
  <c r="T13" i="18"/>
  <c r="Q3" i="11" l="1"/>
  <c r="Q3" i="12"/>
  <c r="R8" i="6"/>
  <c r="T15" i="18"/>
  <c r="U13" i="18"/>
  <c r="R3" i="12" l="1"/>
  <c r="R3" i="11"/>
  <c r="S8" i="6"/>
  <c r="U15" i="18"/>
  <c r="V13" i="18"/>
  <c r="S3" i="11" l="1"/>
  <c r="S3" i="12"/>
  <c r="T8" i="6"/>
  <c r="V15" i="18"/>
  <c r="W13" i="18"/>
  <c r="T3" i="12" l="1"/>
  <c r="T3" i="11"/>
  <c r="U8" i="6"/>
  <c r="W15" i="18"/>
  <c r="X13" i="18"/>
  <c r="U3" i="11" l="1"/>
  <c r="U3" i="12"/>
  <c r="V8" i="6"/>
  <c r="X15" i="18"/>
  <c r="Y13" i="18"/>
  <c r="Y15" i="18" l="1"/>
  <c r="Z13" i="18"/>
  <c r="V3" i="12"/>
  <c r="V3" i="11"/>
  <c r="W8" i="6"/>
  <c r="W3" i="11" l="1"/>
  <c r="W3" i="12"/>
  <c r="X8" i="6"/>
  <c r="Z15" i="18"/>
  <c r="AA13" i="18"/>
  <c r="AA15" i="18" l="1"/>
  <c r="AB13" i="18"/>
  <c r="X3" i="12"/>
  <c r="X3" i="11"/>
  <c r="Y8" i="6"/>
  <c r="Y3" i="11" l="1"/>
  <c r="Y3" i="12"/>
  <c r="Z8" i="6"/>
  <c r="AB15" i="18"/>
  <c r="AC13" i="18"/>
  <c r="AC15" i="18" l="1"/>
  <c r="AD13" i="18"/>
  <c r="Z3" i="11"/>
  <c r="Z3" i="12"/>
  <c r="AA8" i="6"/>
  <c r="AA3" i="12" l="1"/>
  <c r="AA3" i="11"/>
  <c r="C44" i="7"/>
  <c r="AB8" i="6"/>
  <c r="AD15" i="18"/>
  <c r="AE13" i="18"/>
  <c r="AE15" i="18" l="1"/>
  <c r="AF13" i="18"/>
  <c r="AB3" i="11"/>
  <c r="AB3" i="12"/>
  <c r="AC8" i="6"/>
  <c r="AC3" i="12" l="1"/>
  <c r="AC3" i="11"/>
  <c r="AD8" i="6"/>
  <c r="AF15" i="18"/>
  <c r="AG13" i="18"/>
  <c r="AG15" i="18" l="1"/>
  <c r="AH13" i="18"/>
  <c r="AD3" i="11"/>
  <c r="AD3" i="12"/>
  <c r="AE8" i="6"/>
  <c r="AH15" i="18" l="1"/>
  <c r="AI13" i="18"/>
  <c r="AE3" i="11"/>
  <c r="AE3" i="12"/>
  <c r="AF8" i="6"/>
  <c r="AF3" i="11" l="1"/>
  <c r="AF3" i="12"/>
  <c r="AG8" i="6"/>
  <c r="AI15" i="18"/>
  <c r="AJ13" i="18"/>
  <c r="AG3" i="11" l="1"/>
  <c r="AG3" i="12"/>
  <c r="AH8" i="6"/>
  <c r="AJ15" i="18"/>
  <c r="AK13" i="18"/>
  <c r="AH3" i="11" l="1"/>
  <c r="AH3" i="12"/>
  <c r="AI8" i="6"/>
  <c r="AK15" i="18"/>
  <c r="AL13" i="18"/>
  <c r="AI3" i="12" l="1"/>
  <c r="AI3" i="11"/>
  <c r="AJ8" i="6"/>
  <c r="AL15" i="18"/>
  <c r="AM13" i="18"/>
  <c r="AJ3" i="11" l="1"/>
  <c r="AJ3" i="12"/>
  <c r="AK8" i="6"/>
  <c r="AM15" i="18"/>
  <c r="AN13" i="18"/>
  <c r="AK3" i="12" l="1"/>
  <c r="AK3" i="11"/>
  <c r="AL8" i="6"/>
  <c r="AN15" i="18"/>
  <c r="AO13" i="18"/>
  <c r="AO15" i="18" l="1"/>
  <c r="AP13" i="18"/>
  <c r="AL3" i="11"/>
  <c r="AL3" i="12"/>
  <c r="AM8" i="6"/>
  <c r="AM3" i="12" l="1"/>
  <c r="AM3" i="11"/>
  <c r="AN8" i="6"/>
  <c r="AP15" i="18"/>
  <c r="AQ13" i="18"/>
  <c r="AQ15" i="18" l="1"/>
  <c r="AR13" i="18"/>
  <c r="AN3" i="12"/>
  <c r="AN3" i="11"/>
  <c r="AO8" i="6"/>
  <c r="AO3" i="11" l="1"/>
  <c r="AO3" i="12"/>
  <c r="AP8" i="6"/>
  <c r="AR15" i="18"/>
  <c r="AS13" i="18"/>
  <c r="AS15" i="18" l="1"/>
  <c r="AT13" i="18"/>
  <c r="AP3" i="11"/>
  <c r="AP3" i="12"/>
  <c r="AQ8" i="6"/>
  <c r="AQ3" i="12" l="1"/>
  <c r="AR8" i="6"/>
  <c r="AQ3" i="11"/>
  <c r="AT15" i="18"/>
  <c r="AU13" i="18"/>
  <c r="AU15" i="18" l="1"/>
  <c r="AV13" i="18"/>
  <c r="AR3" i="12"/>
  <c r="AS8" i="6"/>
  <c r="AR3" i="11"/>
  <c r="AS3" i="12" l="1"/>
  <c r="AS3" i="11"/>
  <c r="AT8" i="6"/>
  <c r="AV15" i="18"/>
  <c r="AW13" i="18"/>
  <c r="AT3" i="11" l="1"/>
  <c r="AT3" i="12"/>
  <c r="AU8" i="6"/>
  <c r="AW15" i="18"/>
  <c r="AX13" i="18"/>
  <c r="AV8" i="6" l="1"/>
  <c r="AU3" i="12"/>
  <c r="AU3" i="11"/>
  <c r="AX15" i="18"/>
  <c r="AY13" i="18"/>
  <c r="AV3" i="12" l="1"/>
  <c r="AW8" i="6"/>
  <c r="AV3" i="11"/>
  <c r="AY15" i="18"/>
  <c r="AX16" i="18" s="1"/>
  <c r="AZ13" i="18"/>
  <c r="AZ15" i="18" s="1"/>
  <c r="AU16" i="18" l="1"/>
  <c r="AU18" i="18" s="1"/>
  <c r="AV16" i="18"/>
  <c r="AV18" i="18" s="1"/>
  <c r="AW16" i="18"/>
  <c r="AW18" i="18" s="1"/>
  <c r="AY16" i="18"/>
  <c r="AY18" i="18" s="1"/>
  <c r="X16" i="18"/>
  <c r="X18" i="18" s="1"/>
  <c r="T16" i="18"/>
  <c r="T18" i="18" s="1"/>
  <c r="AB16" i="18"/>
  <c r="AB18" i="18" s="1"/>
  <c r="H16" i="18"/>
  <c r="H18" i="18" s="1"/>
  <c r="G16" i="18"/>
  <c r="G18" i="18" s="1"/>
  <c r="L16" i="18"/>
  <c r="L18" i="18" s="1"/>
  <c r="W16" i="18"/>
  <c r="W18" i="18" s="1"/>
  <c r="N16" i="18"/>
  <c r="N18" i="18" s="1"/>
  <c r="J16" i="18"/>
  <c r="J18" i="18" s="1"/>
  <c r="S16" i="18"/>
  <c r="S18" i="18" s="1"/>
  <c r="Q16" i="18"/>
  <c r="Q18" i="18" s="1"/>
  <c r="Y16" i="18"/>
  <c r="Y18" i="18" s="1"/>
  <c r="O16" i="18"/>
  <c r="O18" i="18" s="1"/>
  <c r="F16" i="18"/>
  <c r="F18" i="18" s="1"/>
  <c r="K16" i="18"/>
  <c r="K18" i="18" s="1"/>
  <c r="D16" i="18"/>
  <c r="D18" i="18" s="1"/>
  <c r="M16" i="18"/>
  <c r="M18" i="18" s="1"/>
  <c r="Z16" i="18"/>
  <c r="Z18" i="18" s="1"/>
  <c r="R16" i="18"/>
  <c r="R18" i="18" s="1"/>
  <c r="AA16" i="18"/>
  <c r="AA18" i="18" s="1"/>
  <c r="P16" i="18"/>
  <c r="P18" i="18" s="1"/>
  <c r="I16" i="18"/>
  <c r="I18" i="18" s="1"/>
  <c r="U16" i="18"/>
  <c r="U18" i="18" s="1"/>
  <c r="AD16" i="18"/>
  <c r="AD18" i="18" s="1"/>
  <c r="C16" i="18"/>
  <c r="C18" i="18" s="1"/>
  <c r="E16" i="18"/>
  <c r="E18" i="18" s="1"/>
  <c r="V16" i="18"/>
  <c r="V18" i="18" s="1"/>
  <c r="AE16" i="18"/>
  <c r="AE18" i="18" s="1"/>
  <c r="AC16" i="18"/>
  <c r="AC18" i="18" s="1"/>
  <c r="AH16" i="18"/>
  <c r="AH18" i="18" s="1"/>
  <c r="AG16" i="18"/>
  <c r="AG18" i="18" s="1"/>
  <c r="AF16" i="18"/>
  <c r="AF18" i="18" s="1"/>
  <c r="AI16" i="18"/>
  <c r="AI18" i="18" s="1"/>
  <c r="AJ16" i="18"/>
  <c r="AJ18" i="18" s="1"/>
  <c r="AK16" i="18"/>
  <c r="AK18" i="18" s="1"/>
  <c r="AM16" i="18"/>
  <c r="AM18" i="18" s="1"/>
  <c r="AL16" i="18"/>
  <c r="AL18" i="18" s="1"/>
  <c r="AN16" i="18"/>
  <c r="AN18" i="18" s="1"/>
  <c r="AO16" i="18"/>
  <c r="AO18" i="18" s="1"/>
  <c r="AP16" i="18"/>
  <c r="AP18" i="18" s="1"/>
  <c r="AS16" i="18"/>
  <c r="AS18" i="18" s="1"/>
  <c r="AS19" i="18" s="1"/>
  <c r="AS20" i="18" s="1"/>
  <c r="AS43" i="13" s="1"/>
  <c r="AS42" i="13" s="1"/>
  <c r="AQ16" i="18"/>
  <c r="AQ18" i="18" s="1"/>
  <c r="AR16" i="18"/>
  <c r="AR18" i="18" s="1"/>
  <c r="AT16" i="18"/>
  <c r="AT18" i="18" s="1"/>
  <c r="AX18" i="18"/>
  <c r="AX19" i="18" s="1"/>
  <c r="AX20" i="18" s="1"/>
  <c r="AW3" i="11"/>
  <c r="AW3" i="12"/>
  <c r="AX8" i="6"/>
  <c r="AL19" i="18" l="1"/>
  <c r="AL20" i="18" s="1"/>
  <c r="AL43" i="13" s="1"/>
  <c r="AL42" i="13" s="1"/>
  <c r="AL5" i="3" s="1"/>
  <c r="AI19" i="18"/>
  <c r="AI20" i="18" s="1"/>
  <c r="AI43" i="13" s="1"/>
  <c r="AI42" i="13" s="1"/>
  <c r="AI11" i="7" s="1"/>
  <c r="AC19" i="18"/>
  <c r="AC20" i="18" s="1"/>
  <c r="AC43" i="13" s="1"/>
  <c r="AC42" i="13" s="1"/>
  <c r="AC5" i="3" s="1"/>
  <c r="AR19" i="18"/>
  <c r="AR20" i="18" s="1"/>
  <c r="AR43" i="13" s="1"/>
  <c r="AR42" i="13" s="1"/>
  <c r="AR11" i="7" s="1"/>
  <c r="AK19" i="18"/>
  <c r="AK20" i="18" s="1"/>
  <c r="AK43" i="13" s="1"/>
  <c r="AK42" i="13" s="1"/>
  <c r="AK11" i="7" s="1"/>
  <c r="AO19" i="18"/>
  <c r="AO20" i="18" s="1"/>
  <c r="AO43" i="13" s="1"/>
  <c r="AO42" i="13" s="1"/>
  <c r="AO11" i="7" s="1"/>
  <c r="AT19" i="18"/>
  <c r="AT20" i="18" s="1"/>
  <c r="AT43" i="13" s="1"/>
  <c r="AT42" i="13" s="1"/>
  <c r="AT11" i="7" s="1"/>
  <c r="AP19" i="18"/>
  <c r="AP20" i="18" s="1"/>
  <c r="AP43" i="13" s="1"/>
  <c r="AP42" i="13" s="1"/>
  <c r="AP11" i="7" s="1"/>
  <c r="AM19" i="18"/>
  <c r="AM20" i="18" s="1"/>
  <c r="AM43" i="13" s="1"/>
  <c r="AM42" i="13" s="1"/>
  <c r="AM5" i="3" s="1"/>
  <c r="AF19" i="18"/>
  <c r="AF20" i="18" s="1"/>
  <c r="AF43" i="13" s="1"/>
  <c r="AF42" i="13" s="1"/>
  <c r="AF5" i="3" s="1"/>
  <c r="AQ19" i="18"/>
  <c r="AQ20" i="18" s="1"/>
  <c r="AQ43" i="13" s="1"/>
  <c r="AQ42" i="13" s="1"/>
  <c r="AQ5" i="3" s="1"/>
  <c r="AN19" i="18"/>
  <c r="AN20" i="18" s="1"/>
  <c r="AN43" i="13" s="1"/>
  <c r="AN42" i="13" s="1"/>
  <c r="AN5" i="3" s="1"/>
  <c r="AJ19" i="18"/>
  <c r="AJ20" i="18" s="1"/>
  <c r="AJ43" i="13" s="1"/>
  <c r="AJ42" i="13" s="1"/>
  <c r="AJ11" i="7" s="1"/>
  <c r="AH19" i="18"/>
  <c r="AH20" i="18" s="1"/>
  <c r="AH43" i="13" s="1"/>
  <c r="AH42" i="13" s="1"/>
  <c r="AH11" i="7" s="1"/>
  <c r="E19" i="18"/>
  <c r="E20" i="18" s="1"/>
  <c r="E43" i="13" s="1"/>
  <c r="E42" i="13" s="1"/>
  <c r="E11" i="7" s="1"/>
  <c r="AG19" i="18"/>
  <c r="AG20" i="18" s="1"/>
  <c r="AG43" i="13" s="1"/>
  <c r="AG42" i="13" s="1"/>
  <c r="AG11" i="7" s="1"/>
  <c r="AY19" i="18"/>
  <c r="AY20" i="18" s="1"/>
  <c r="AY43" i="13" s="1"/>
  <c r="AY42" i="13" s="1"/>
  <c r="AE19" i="18"/>
  <c r="AE20" i="18" s="1"/>
  <c r="AE43" i="13" s="1"/>
  <c r="AE42" i="13" s="1"/>
  <c r="AD19" i="18"/>
  <c r="AD20" i="18" s="1"/>
  <c r="AD43" i="13" s="1"/>
  <c r="AD42" i="13" s="1"/>
  <c r="AA19" i="18"/>
  <c r="AA20" i="18" s="1"/>
  <c r="AA43" i="13" s="1"/>
  <c r="AA42" i="13" s="1"/>
  <c r="D19" i="18"/>
  <c r="D20" i="18" s="1"/>
  <c r="D43" i="13" s="1"/>
  <c r="D42" i="13" s="1"/>
  <c r="Y19" i="18"/>
  <c r="Y20" i="18" s="1"/>
  <c r="Y43" i="13" s="1"/>
  <c r="Y42" i="13" s="1"/>
  <c r="N19" i="18"/>
  <c r="N20" i="18" s="1"/>
  <c r="N43" i="13" s="1"/>
  <c r="N42" i="13" s="1"/>
  <c r="H19" i="18"/>
  <c r="H20" i="18" s="1"/>
  <c r="H43" i="13" s="1"/>
  <c r="H42" i="13" s="1"/>
  <c r="V19" i="18"/>
  <c r="V20" i="18" s="1"/>
  <c r="V43" i="13" s="1"/>
  <c r="V42" i="13" s="1"/>
  <c r="U19" i="18"/>
  <c r="U20" i="18" s="1"/>
  <c r="U43" i="13" s="1"/>
  <c r="U42" i="13" s="1"/>
  <c r="R19" i="18"/>
  <c r="R20" i="18" s="1"/>
  <c r="R43" i="13" s="1"/>
  <c r="R42" i="13" s="1"/>
  <c r="K19" i="18"/>
  <c r="K20" i="18" s="1"/>
  <c r="K43" i="13" s="1"/>
  <c r="K42" i="13" s="1"/>
  <c r="Q19" i="18"/>
  <c r="Q20" i="18" s="1"/>
  <c r="Q43" i="13" s="1"/>
  <c r="Q42" i="13" s="1"/>
  <c r="W19" i="18"/>
  <c r="W20" i="18" s="1"/>
  <c r="W43" i="13" s="1"/>
  <c r="W42" i="13" s="1"/>
  <c r="AB19" i="18"/>
  <c r="AB20" i="18" s="1"/>
  <c r="AB43" i="13" s="1"/>
  <c r="AB42" i="13" s="1"/>
  <c r="AW19" i="18"/>
  <c r="AW20" i="18" s="1"/>
  <c r="AW43" i="13" s="1"/>
  <c r="AW42" i="13" s="1"/>
  <c r="AW11" i="7" s="1"/>
  <c r="I19" i="18"/>
  <c r="I20" i="18" s="1"/>
  <c r="I43" i="13" s="1"/>
  <c r="I42" i="13" s="1"/>
  <c r="Z19" i="18"/>
  <c r="Z20" i="18" s="1"/>
  <c r="Z43" i="13" s="1"/>
  <c r="Z42" i="13" s="1"/>
  <c r="F19" i="18"/>
  <c r="F20" i="18" s="1"/>
  <c r="F43" i="13" s="1"/>
  <c r="F42" i="13" s="1"/>
  <c r="S19" i="18"/>
  <c r="S20" i="18" s="1"/>
  <c r="S43" i="13" s="1"/>
  <c r="S42" i="13" s="1"/>
  <c r="L19" i="18"/>
  <c r="L20" i="18" s="1"/>
  <c r="L43" i="13" s="1"/>
  <c r="L42" i="13" s="1"/>
  <c r="T19" i="18"/>
  <c r="T20" i="18" s="1"/>
  <c r="T43" i="13" s="1"/>
  <c r="T42" i="13" s="1"/>
  <c r="AV19" i="18"/>
  <c r="AV20" i="18" s="1"/>
  <c r="AV43" i="13" s="1"/>
  <c r="AV42" i="13" s="1"/>
  <c r="AS11" i="7"/>
  <c r="AS5" i="3"/>
  <c r="AI5" i="3"/>
  <c r="AZ19" i="18"/>
  <c r="AZ20" i="18" s="1"/>
  <c r="AZ43" i="13" s="1"/>
  <c r="AZ42" i="13" s="1"/>
  <c r="C19" i="18"/>
  <c r="C20" i="18" s="1"/>
  <c r="C43" i="13" s="1"/>
  <c r="C42" i="13" s="1"/>
  <c r="P19" i="18"/>
  <c r="P20" i="18" s="1"/>
  <c r="P43" i="13" s="1"/>
  <c r="P42" i="13" s="1"/>
  <c r="M19" i="18"/>
  <c r="M20" i="18" s="1"/>
  <c r="M43" i="13" s="1"/>
  <c r="M42" i="13" s="1"/>
  <c r="O19" i="18"/>
  <c r="O20" i="18" s="1"/>
  <c r="O43" i="13" s="1"/>
  <c r="O42" i="13" s="1"/>
  <c r="J19" i="18"/>
  <c r="J20" i="18" s="1"/>
  <c r="J43" i="13" s="1"/>
  <c r="J42" i="13" s="1"/>
  <c r="G19" i="18"/>
  <c r="G20" i="18" s="1"/>
  <c r="G43" i="13" s="1"/>
  <c r="G42" i="13" s="1"/>
  <c r="X19" i="18"/>
  <c r="X20" i="18" s="1"/>
  <c r="X43" i="13" s="1"/>
  <c r="X42" i="13" s="1"/>
  <c r="AU19" i="18"/>
  <c r="AU20" i="18" s="1"/>
  <c r="AU43" i="13" s="1"/>
  <c r="AU42" i="13" s="1"/>
  <c r="AX43" i="13"/>
  <c r="AX42" i="13" s="1"/>
  <c r="AX3" i="12"/>
  <c r="AY8" i="6"/>
  <c r="AX3" i="11"/>
  <c r="AL11" i="7" l="1"/>
  <c r="AC11" i="7"/>
  <c r="AK5" i="3"/>
  <c r="AH5" i="3"/>
  <c r="AJ5" i="3"/>
  <c r="AR5" i="3"/>
  <c r="AF11" i="7"/>
  <c r="AO5" i="3"/>
  <c r="AQ11" i="7"/>
  <c r="AT5" i="3"/>
  <c r="AP5" i="3"/>
  <c r="AN11" i="7"/>
  <c r="AG5" i="3"/>
  <c r="AM11" i="7"/>
  <c r="E5" i="3"/>
  <c r="AW5" i="3"/>
  <c r="X11" i="7"/>
  <c r="X5" i="3"/>
  <c r="M5" i="3"/>
  <c r="M11" i="7"/>
  <c r="AV11" i="7"/>
  <c r="AV5" i="3"/>
  <c r="F11" i="7"/>
  <c r="F5" i="3"/>
  <c r="Q11" i="7"/>
  <c r="Q5" i="3"/>
  <c r="V11" i="7"/>
  <c r="V5" i="3"/>
  <c r="D5" i="3"/>
  <c r="D11" i="7"/>
  <c r="P11" i="7"/>
  <c r="P5" i="3"/>
  <c r="T11" i="7"/>
  <c r="T5" i="3"/>
  <c r="Z11" i="7"/>
  <c r="Z5" i="3"/>
  <c r="K11" i="7"/>
  <c r="K5" i="3"/>
  <c r="H5" i="3"/>
  <c r="H11" i="7"/>
  <c r="AA11" i="7"/>
  <c r="AA5" i="3"/>
  <c r="J5" i="3"/>
  <c r="J11" i="7"/>
  <c r="C11" i="7"/>
  <c r="C5" i="3"/>
  <c r="L11" i="7"/>
  <c r="L5" i="3"/>
  <c r="I5" i="3"/>
  <c r="I11" i="7"/>
  <c r="AB11" i="7"/>
  <c r="AB5" i="3"/>
  <c r="R11" i="7"/>
  <c r="R5" i="3"/>
  <c r="N5" i="3"/>
  <c r="N11" i="7"/>
  <c r="AD5" i="3"/>
  <c r="AD11" i="7"/>
  <c r="G5" i="3"/>
  <c r="G11" i="7"/>
  <c r="AU11" i="7"/>
  <c r="AU5" i="3"/>
  <c r="O11" i="7"/>
  <c r="O5" i="3"/>
  <c r="AZ11" i="7"/>
  <c r="AZ5" i="3"/>
  <c r="S11" i="7"/>
  <c r="S5" i="3"/>
  <c r="W11" i="7"/>
  <c r="W5" i="3"/>
  <c r="U11" i="7"/>
  <c r="U5" i="3"/>
  <c r="Y11" i="7"/>
  <c r="Y5" i="3"/>
  <c r="AE11" i="7"/>
  <c r="AE5" i="3"/>
  <c r="AY11" i="7"/>
  <c r="AY5" i="3"/>
  <c r="AX11" i="7"/>
  <c r="AX5" i="3"/>
  <c r="AY3" i="12"/>
  <c r="AZ8" i="6"/>
  <c r="C28" i="6" s="1"/>
  <c r="AY3" i="11"/>
  <c r="AZ3" i="12" l="1"/>
  <c r="AZ3" i="11"/>
  <c r="C19" i="11" s="1"/>
  <c r="C20" i="12" l="1"/>
  <c r="C21" i="12"/>
  <c r="C10" i="12" l="1"/>
  <c r="AR17" i="5" s="1"/>
  <c r="AR12" i="12" s="1"/>
  <c r="AR13" i="12" s="1"/>
  <c r="AN17" i="5" l="1"/>
  <c r="AN12" i="12" s="1"/>
  <c r="AN13" i="12" s="1"/>
  <c r="L17" i="5"/>
  <c r="L12" i="12" s="1"/>
  <c r="L13" i="12" s="1"/>
  <c r="AB17" i="5"/>
  <c r="AB12" i="12" s="1"/>
  <c r="AB13" i="12" s="1"/>
  <c r="AH17" i="5"/>
  <c r="AH12" i="12" s="1"/>
  <c r="AH13" i="12" s="1"/>
  <c r="G17" i="5"/>
  <c r="G12" i="12" s="1"/>
  <c r="G13" i="12" s="1"/>
  <c r="F17" i="5"/>
  <c r="F12" i="12" s="1"/>
  <c r="F13" i="12" s="1"/>
  <c r="AK17" i="5"/>
  <c r="AK12" i="12" s="1"/>
  <c r="AK13" i="12" s="1"/>
  <c r="AJ17" i="5"/>
  <c r="AJ12" i="12" s="1"/>
  <c r="AJ13" i="12" s="1"/>
  <c r="AY17" i="5"/>
  <c r="AY12" i="12" s="1"/>
  <c r="AY13" i="12" s="1"/>
  <c r="P17" i="5"/>
  <c r="P12" i="12" s="1"/>
  <c r="P13" i="12" s="1"/>
  <c r="AO17" i="5"/>
  <c r="AO12" i="12" s="1"/>
  <c r="AO13" i="12" s="1"/>
  <c r="AG17" i="5"/>
  <c r="AG12" i="12" s="1"/>
  <c r="AG13" i="12" s="1"/>
  <c r="U17" i="5"/>
  <c r="U12" i="12" s="1"/>
  <c r="U13" i="12" s="1"/>
  <c r="AS17" i="5"/>
  <c r="AS12" i="12" s="1"/>
  <c r="AS13" i="12" s="1"/>
  <c r="I17" i="5"/>
  <c r="I12" i="12" s="1"/>
  <c r="I13" i="12" s="1"/>
  <c r="AE17" i="5"/>
  <c r="AE12" i="12" s="1"/>
  <c r="AE13" i="12" s="1"/>
  <c r="AL17" i="5"/>
  <c r="AL12" i="12" s="1"/>
  <c r="AL13" i="12" s="1"/>
  <c r="T17" i="5"/>
  <c r="T12" i="12" s="1"/>
  <c r="T13" i="12" s="1"/>
  <c r="Z17" i="5"/>
  <c r="Z12" i="12" s="1"/>
  <c r="Z13" i="12" s="1"/>
  <c r="AM17" i="5"/>
  <c r="AM12" i="12" s="1"/>
  <c r="AM13" i="12" s="1"/>
  <c r="Q17" i="5"/>
  <c r="Q12" i="12" s="1"/>
  <c r="Q13" i="12" s="1"/>
  <c r="M17" i="5"/>
  <c r="M12" i="12" s="1"/>
  <c r="M13" i="12" s="1"/>
  <c r="Y17" i="5"/>
  <c r="Y12" i="12" s="1"/>
  <c r="Y13" i="12" s="1"/>
  <c r="O17" i="5"/>
  <c r="O12" i="12" s="1"/>
  <c r="O13" i="12" s="1"/>
  <c r="J17" i="5"/>
  <c r="J12" i="12" s="1"/>
  <c r="J13" i="12" s="1"/>
  <c r="R17" i="5"/>
  <c r="R12" i="12" s="1"/>
  <c r="R13" i="12" s="1"/>
  <c r="E17" i="5"/>
  <c r="E12" i="12" s="1"/>
  <c r="E13" i="12" s="1"/>
  <c r="C17" i="5"/>
  <c r="C12" i="12" s="1"/>
  <c r="C13" i="12" s="1"/>
  <c r="AZ17" i="5"/>
  <c r="AZ12" i="12" s="1"/>
  <c r="AZ13" i="12" s="1"/>
  <c r="AQ17" i="5"/>
  <c r="AQ12" i="12" s="1"/>
  <c r="AQ13" i="12" s="1"/>
  <c r="AW17" i="5"/>
  <c r="AW12" i="12" s="1"/>
  <c r="AW13" i="12" s="1"/>
  <c r="AX17" i="5"/>
  <c r="AX12" i="12" s="1"/>
  <c r="AX13" i="12" s="1"/>
  <c r="AC17" i="5"/>
  <c r="AC12" i="12" s="1"/>
  <c r="AC13" i="12" s="1"/>
  <c r="AV17" i="5"/>
  <c r="AV12" i="12" s="1"/>
  <c r="AV13" i="12" s="1"/>
  <c r="AI17" i="5"/>
  <c r="AI12" i="12" s="1"/>
  <c r="AI13" i="12" s="1"/>
  <c r="D17" i="5"/>
  <c r="D12" i="12" s="1"/>
  <c r="D13" i="12" s="1"/>
  <c r="AD17" i="5"/>
  <c r="AD12" i="12" s="1"/>
  <c r="AD13" i="12" s="1"/>
  <c r="W17" i="5"/>
  <c r="W12" i="12" s="1"/>
  <c r="W13" i="12" s="1"/>
  <c r="X17" i="5"/>
  <c r="X12" i="12" s="1"/>
  <c r="X13" i="12" s="1"/>
  <c r="K17" i="5"/>
  <c r="K12" i="12" s="1"/>
  <c r="K13" i="12" s="1"/>
  <c r="N17" i="5"/>
  <c r="N12" i="12" s="1"/>
  <c r="N13" i="12" s="1"/>
  <c r="AP17" i="5"/>
  <c r="AP12" i="12" s="1"/>
  <c r="AP13" i="12" s="1"/>
  <c r="V17" i="5"/>
  <c r="V12" i="12" s="1"/>
  <c r="V13" i="12" s="1"/>
  <c r="AF17" i="5"/>
  <c r="AF12" i="12" s="1"/>
  <c r="AF13" i="12" s="1"/>
  <c r="H17" i="5"/>
  <c r="H12" i="12" s="1"/>
  <c r="H13" i="12" s="1"/>
  <c r="S17" i="5"/>
  <c r="S12" i="12" s="1"/>
  <c r="S13" i="12" s="1"/>
  <c r="AA17" i="5"/>
  <c r="AA12" i="12" s="1"/>
  <c r="AA13" i="12" s="1"/>
  <c r="AU17" i="5"/>
  <c r="AU12" i="12" s="1"/>
  <c r="AU13" i="12" s="1"/>
  <c r="AT17" i="5"/>
  <c r="AT12" i="12" s="1"/>
  <c r="AT13" i="12" s="1"/>
  <c r="C15" i="12" l="1"/>
  <c r="C54" i="13" l="1"/>
  <c r="C53" i="13" s="1"/>
  <c r="B2" i="21"/>
  <c r="B22" i="21" s="1"/>
  <c r="C2" i="7" l="1"/>
  <c r="C2" i="3"/>
  <c r="C18" i="3" s="1"/>
  <c r="B26" i="21"/>
  <c r="C107" i="13" s="1"/>
  <c r="C105" i="13" s="1"/>
  <c r="C22" i="21"/>
  <c r="G18" i="21"/>
  <c r="H106" i="13" s="1"/>
  <c r="E18" i="21"/>
  <c r="F106" i="13" s="1"/>
  <c r="D18" i="21"/>
  <c r="E106" i="13" s="1"/>
  <c r="I18" i="21"/>
  <c r="J106" i="13" s="1"/>
  <c r="K18" i="21"/>
  <c r="L106" i="13" s="1"/>
  <c r="J18" i="21"/>
  <c r="K106" i="13" s="1"/>
  <c r="B18" i="21"/>
  <c r="C106" i="13" s="1"/>
  <c r="F18" i="21"/>
  <c r="G106" i="13" s="1"/>
  <c r="H18" i="21"/>
  <c r="I106" i="13" s="1"/>
  <c r="C18" i="21"/>
  <c r="D106" i="13" s="1"/>
  <c r="C2" i="13" l="1"/>
  <c r="AI21" i="3"/>
  <c r="U20" i="3"/>
  <c r="AG27" i="3"/>
  <c r="AB22" i="3"/>
  <c r="AG21" i="3"/>
  <c r="AH22" i="3"/>
  <c r="AK25" i="3"/>
  <c r="R22" i="3"/>
  <c r="U25" i="3"/>
  <c r="O24" i="3"/>
  <c r="J19" i="3"/>
  <c r="M22" i="3"/>
  <c r="I18" i="3"/>
  <c r="P21" i="3"/>
  <c r="U26" i="3"/>
  <c r="X23" i="3"/>
  <c r="Z25" i="3"/>
  <c r="Y24" i="3"/>
  <c r="AE25" i="3"/>
  <c r="AC23" i="3"/>
  <c r="AL26" i="3"/>
  <c r="AM27" i="3"/>
  <c r="P20" i="3"/>
  <c r="V26" i="3"/>
  <c r="O19" i="3"/>
  <c r="N23" i="3"/>
  <c r="L21" i="3"/>
  <c r="V27" i="3"/>
  <c r="O20" i="3"/>
  <c r="M18" i="3"/>
  <c r="T25" i="3"/>
  <c r="T19" i="3"/>
  <c r="AB27" i="3"/>
  <c r="X18" i="3"/>
  <c r="AE19" i="3"/>
  <c r="AF20" i="3"/>
  <c r="AI23" i="3"/>
  <c r="W27" i="3"/>
  <c r="Q26" i="3"/>
  <c r="P25" i="3"/>
  <c r="K20" i="3"/>
  <c r="N19" i="3"/>
  <c r="S24" i="3"/>
  <c r="Q22" i="3"/>
  <c r="W22" i="3"/>
  <c r="S18" i="3"/>
  <c r="AA26" i="3"/>
  <c r="V21" i="3"/>
  <c r="AF26" i="3"/>
  <c r="AA21" i="3"/>
  <c r="Z20" i="3"/>
  <c r="AD24" i="3"/>
  <c r="Y19" i="3"/>
  <c r="AJ24" i="3"/>
  <c r="AD18" i="3"/>
  <c r="S23" i="3"/>
  <c r="N18" i="3"/>
  <c r="T24" i="3"/>
  <c r="Q21" i="3"/>
  <c r="R27" i="3"/>
  <c r="R23" i="3"/>
  <c r="R19" i="3"/>
  <c r="Z27" i="3"/>
  <c r="Q24" i="3"/>
  <c r="S26" i="3"/>
  <c r="K19" i="3"/>
  <c r="O23" i="3"/>
  <c r="P24" i="3"/>
  <c r="O26" i="3"/>
  <c r="N25" i="3"/>
  <c r="J21" i="3"/>
  <c r="G18" i="3"/>
  <c r="L23" i="3"/>
  <c r="AB18" i="3"/>
  <c r="AH24" i="3"/>
  <c r="X20" i="3"/>
  <c r="AF21" i="3"/>
  <c r="AK26" i="3"/>
  <c r="AH23" i="3"/>
  <c r="AI24" i="3"/>
  <c r="L26" i="3"/>
  <c r="J24" i="3"/>
  <c r="U22" i="3"/>
  <c r="W24" i="3"/>
  <c r="Q18" i="3"/>
  <c r="L19" i="3"/>
  <c r="M20" i="3"/>
  <c r="P23" i="3"/>
  <c r="T27" i="3"/>
  <c r="Q25" i="3"/>
  <c r="M21" i="3"/>
  <c r="AK27" i="3"/>
  <c r="AE21" i="3"/>
  <c r="E19" i="3"/>
  <c r="D18" i="3"/>
  <c r="I23" i="3"/>
  <c r="AH20" i="3"/>
  <c r="X25" i="3"/>
  <c r="S20" i="3"/>
  <c r="V23" i="3"/>
  <c r="K18" i="3"/>
  <c r="O22" i="3"/>
  <c r="N21" i="3"/>
  <c r="R25" i="3"/>
  <c r="N22" i="3"/>
  <c r="J18" i="3"/>
  <c r="L20" i="3"/>
  <c r="M24" i="3"/>
  <c r="AG23" i="3"/>
  <c r="AI25" i="3"/>
  <c r="AD20" i="3"/>
  <c r="AL27" i="3"/>
  <c r="AJ25" i="3"/>
  <c r="H22" i="3"/>
  <c r="K25" i="3"/>
  <c r="M27" i="3"/>
  <c r="Y26" i="3"/>
  <c r="T21" i="3"/>
  <c r="R26" i="3"/>
  <c r="S27" i="3"/>
  <c r="P27" i="3"/>
  <c r="H19" i="3"/>
  <c r="K22" i="3"/>
  <c r="I20" i="3"/>
  <c r="AF22" i="3"/>
  <c r="AC19" i="3"/>
  <c r="AJ26" i="3"/>
  <c r="AC18" i="3"/>
  <c r="AG22" i="3"/>
  <c r="AD19" i="3"/>
  <c r="AE20" i="3"/>
  <c r="F20" i="3"/>
  <c r="G21" i="3"/>
  <c r="AL24" i="3"/>
  <c r="AO27" i="3"/>
  <c r="AN26" i="3"/>
  <c r="AF18" i="3"/>
  <c r="AK23" i="3"/>
  <c r="AG19" i="3"/>
  <c r="AJ22" i="3"/>
  <c r="AM25" i="3"/>
  <c r="Y27" i="3"/>
  <c r="Z24" i="3"/>
  <c r="Y23" i="3"/>
  <c r="AB26" i="3"/>
  <c r="Y22" i="3"/>
  <c r="J22" i="3"/>
  <c r="S21" i="3"/>
  <c r="W25" i="3"/>
  <c r="X26" i="3"/>
  <c r="W19" i="3"/>
  <c r="N26" i="3"/>
  <c r="G19" i="3"/>
  <c r="AB25" i="3"/>
  <c r="AD25" i="3"/>
  <c r="AE26" i="3"/>
  <c r="S19" i="3"/>
  <c r="AA27" i="3"/>
  <c r="W23" i="3"/>
  <c r="X22" i="3"/>
  <c r="AE27" i="3"/>
  <c r="H20" i="3"/>
  <c r="P18" i="3"/>
  <c r="Z22" i="3"/>
  <c r="I21" i="3"/>
  <c r="L24" i="3"/>
  <c r="F18" i="3"/>
  <c r="Z18" i="3"/>
  <c r="AH26" i="3"/>
  <c r="AC21" i="3"/>
  <c r="V22" i="3"/>
  <c r="AB23" i="3"/>
  <c r="AF27" i="3"/>
  <c r="AC27" i="3"/>
  <c r="W21" i="3"/>
  <c r="V20" i="3"/>
  <c r="V18" i="3"/>
  <c r="T18" i="3"/>
  <c r="U19" i="3"/>
  <c r="R20" i="3"/>
  <c r="Q19" i="3"/>
  <c r="AA24" i="3"/>
  <c r="V19" i="3"/>
  <c r="AA23" i="3"/>
  <c r="Z23" i="3"/>
  <c r="Y21" i="3"/>
  <c r="Y20" i="3"/>
  <c r="U18" i="3"/>
  <c r="X21" i="3"/>
  <c r="T20" i="3"/>
  <c r="AD22" i="3"/>
  <c r="AI27" i="3"/>
  <c r="Y25" i="3"/>
  <c r="Z21" i="3"/>
  <c r="AC24" i="3"/>
  <c r="K23" i="3"/>
  <c r="M25" i="3"/>
  <c r="AA25" i="3"/>
  <c r="AD26" i="3"/>
  <c r="V24" i="3"/>
  <c r="U23" i="3"/>
  <c r="T22" i="3"/>
  <c r="AC25" i="3"/>
  <c r="AB24" i="3"/>
  <c r="O27" i="3"/>
  <c r="U21" i="3"/>
  <c r="AC26" i="3"/>
  <c r="AD27" i="3"/>
  <c r="W20" i="3"/>
  <c r="AF24" i="3"/>
  <c r="AE23" i="3"/>
  <c r="AB20" i="3"/>
  <c r="AA19" i="3"/>
  <c r="AG25" i="3"/>
  <c r="R18" i="3"/>
  <c r="Z26" i="3"/>
  <c r="X24" i="3"/>
  <c r="AA22" i="3"/>
  <c r="W18" i="3"/>
  <c r="X19" i="3"/>
  <c r="AG20" i="3"/>
  <c r="Q27" i="3"/>
  <c r="Z19" i="3"/>
  <c r="AB21" i="3"/>
  <c r="AA20" i="3"/>
  <c r="AG26" i="3"/>
  <c r="J23" i="3"/>
  <c r="L18" i="3"/>
  <c r="S25" i="3"/>
  <c r="V25" i="3"/>
  <c r="U24" i="3"/>
  <c r="O18" i="3"/>
  <c r="I24" i="3"/>
  <c r="L27" i="3"/>
  <c r="AN27" i="3"/>
  <c r="AI22" i="3"/>
  <c r="AF19" i="3"/>
  <c r="AJ23" i="3"/>
  <c r="I19" i="3"/>
  <c r="L22" i="3"/>
  <c r="H18" i="3"/>
  <c r="M23" i="3"/>
  <c r="Y18" i="3"/>
  <c r="G20" i="3"/>
  <c r="M26" i="3"/>
  <c r="K24" i="3"/>
  <c r="F19" i="3"/>
  <c r="AZ18" i="3"/>
  <c r="R24" i="3"/>
  <c r="R21" i="3"/>
  <c r="D19" i="3"/>
  <c r="J25" i="3"/>
  <c r="AL25" i="3"/>
  <c r="AM26" i="3"/>
  <c r="AK24" i="3"/>
  <c r="P26" i="3"/>
  <c r="AD23" i="3"/>
  <c r="AE24" i="3"/>
  <c r="AC22" i="3"/>
  <c r="L25" i="3"/>
  <c r="N27" i="3"/>
  <c r="I22" i="3"/>
  <c r="U27" i="3"/>
  <c r="T26" i="3"/>
  <c r="O21" i="3"/>
  <c r="M19" i="3"/>
  <c r="Q23" i="3"/>
  <c r="T23" i="3"/>
  <c r="Q20" i="3"/>
  <c r="X27" i="3"/>
  <c r="W26" i="3"/>
  <c r="H23" i="3"/>
  <c r="K26" i="3"/>
  <c r="F21" i="3"/>
  <c r="AH21" i="3"/>
  <c r="AE18" i="3"/>
  <c r="N24" i="3"/>
  <c r="O25" i="3"/>
  <c r="K21" i="3"/>
  <c r="J20" i="3"/>
  <c r="AH27" i="3"/>
  <c r="AF25" i="3"/>
  <c r="E18" i="3"/>
  <c r="H21" i="3"/>
  <c r="P22" i="3"/>
  <c r="N20" i="3"/>
  <c r="P19" i="3"/>
  <c r="S22" i="3"/>
  <c r="G22" i="3"/>
  <c r="E20" i="3"/>
  <c r="AB19" i="3"/>
  <c r="AA18" i="3"/>
  <c r="AD21" i="3"/>
  <c r="AK22" i="3"/>
  <c r="AG18" i="3"/>
  <c r="AP27" i="3"/>
  <c r="AJ27" i="3"/>
  <c r="AF23" i="3"/>
  <c r="AN25" i="3"/>
  <c r="AH19" i="3"/>
  <c r="AI20" i="3"/>
  <c r="AJ21" i="3"/>
  <c r="AH25" i="3"/>
  <c r="AC20" i="3"/>
  <c r="AL23" i="3"/>
  <c r="AO26" i="3"/>
  <c r="AM24" i="3"/>
  <c r="AG24" i="3"/>
  <c r="AI26" i="3"/>
  <c r="AE22" i="3"/>
  <c r="AP26" i="3"/>
  <c r="AO25" i="3"/>
  <c r="AL22" i="3"/>
  <c r="AK21" i="3"/>
  <c r="AI19" i="3"/>
  <c r="AQ27" i="3"/>
  <c r="AH18" i="3"/>
  <c r="AN24" i="3"/>
  <c r="AJ20" i="3"/>
  <c r="AM23" i="3"/>
  <c r="AR27" i="3"/>
  <c r="AK20" i="3"/>
  <c r="AI18" i="3"/>
  <c r="AJ19" i="3"/>
  <c r="AP25" i="3"/>
  <c r="AM22" i="3"/>
  <c r="AN23" i="3"/>
  <c r="AQ26" i="3"/>
  <c r="AL21" i="3"/>
  <c r="AO24" i="3"/>
  <c r="AO23" i="3"/>
  <c r="AM21" i="3"/>
  <c r="AR26" i="3"/>
  <c r="AP24" i="3"/>
  <c r="AQ25" i="3"/>
  <c r="AK19" i="3"/>
  <c r="AL20" i="3"/>
  <c r="AJ18" i="3"/>
  <c r="AN22" i="3"/>
  <c r="AS27" i="3"/>
  <c r="AO22" i="3"/>
  <c r="AS26" i="3"/>
  <c r="AR25" i="3"/>
  <c r="AN21" i="3"/>
  <c r="AL19" i="3"/>
  <c r="AT27" i="3"/>
  <c r="AP23" i="3"/>
  <c r="AQ24" i="3"/>
  <c r="AM20" i="3"/>
  <c r="AK18" i="3"/>
  <c r="AM19" i="3"/>
  <c r="AN20" i="3"/>
  <c r="AO21" i="3"/>
  <c r="AS25" i="3"/>
  <c r="AR24" i="3"/>
  <c r="AP22" i="3"/>
  <c r="AU27" i="3"/>
  <c r="AT26" i="3"/>
  <c r="AL18" i="3"/>
  <c r="AQ23" i="3"/>
  <c r="AM18" i="3"/>
  <c r="AN19" i="3"/>
  <c r="AV27" i="3"/>
  <c r="AR23" i="3"/>
  <c r="AO20" i="3"/>
  <c r="AP21" i="3"/>
  <c r="AU26" i="3"/>
  <c r="AQ22" i="3"/>
  <c r="AT25" i="3"/>
  <c r="AS24" i="3"/>
  <c r="AP20" i="3"/>
  <c r="AW27" i="3"/>
  <c r="AV26" i="3"/>
  <c r="AN18" i="3"/>
  <c r="AS23" i="3"/>
  <c r="AO19" i="3"/>
  <c r="AQ21" i="3"/>
  <c r="AT24" i="3"/>
  <c r="AR22" i="3"/>
  <c r="AU25" i="3"/>
  <c r="AT23" i="3"/>
  <c r="AU24" i="3"/>
  <c r="AQ20" i="3"/>
  <c r="AS22" i="3"/>
  <c r="AW26" i="3"/>
  <c r="AR21" i="3"/>
  <c r="AX27" i="3"/>
  <c r="AV25" i="3"/>
  <c r="AO18" i="3"/>
  <c r="AP19" i="3"/>
  <c r="AW25" i="3"/>
  <c r="AQ19" i="3"/>
  <c r="AV24" i="3"/>
  <c r="AR20" i="3"/>
  <c r="AX26" i="3"/>
  <c r="AT22" i="3"/>
  <c r="AP18" i="3"/>
  <c r="AS21" i="3"/>
  <c r="AU23" i="3"/>
  <c r="AY27" i="3"/>
  <c r="AX25" i="3"/>
  <c r="AW24" i="3"/>
  <c r="AU22" i="3"/>
  <c r="AT21" i="3"/>
  <c r="AZ27" i="3"/>
  <c r="AS20" i="3"/>
  <c r="AV23" i="3"/>
  <c r="AY26" i="3"/>
  <c r="AR19" i="3"/>
  <c r="AQ18" i="3"/>
  <c r="AY25" i="3"/>
  <c r="AV22" i="3"/>
  <c r="AZ26" i="3"/>
  <c r="AW23" i="3"/>
  <c r="AS19" i="3"/>
  <c r="AX24" i="3"/>
  <c r="AR18" i="3"/>
  <c r="AT20" i="3"/>
  <c r="AU21" i="3"/>
  <c r="AV21" i="3"/>
  <c r="AU20" i="3"/>
  <c r="AX23" i="3"/>
  <c r="AS18" i="3"/>
  <c r="AT19" i="3"/>
  <c r="AZ25" i="3"/>
  <c r="AY24" i="3"/>
  <c r="AW22" i="3"/>
  <c r="AU19" i="3"/>
  <c r="AX22" i="3"/>
  <c r="AZ24" i="3"/>
  <c r="AT18" i="3"/>
  <c r="AW21" i="3"/>
  <c r="AV20" i="3"/>
  <c r="AY23" i="3"/>
  <c r="AX21" i="3"/>
  <c r="AW20" i="3"/>
  <c r="AZ23" i="3"/>
  <c r="AY22" i="3"/>
  <c r="AU18" i="3"/>
  <c r="AV19" i="3"/>
  <c r="AX20" i="3"/>
  <c r="AW19" i="3"/>
  <c r="AV18" i="3"/>
  <c r="AZ22" i="3"/>
  <c r="AY21" i="3"/>
  <c r="AY20" i="3"/>
  <c r="AX19" i="3"/>
  <c r="AW18" i="3"/>
  <c r="AZ21" i="3"/>
  <c r="AZ19" i="3"/>
  <c r="AY18" i="3"/>
  <c r="AY19" i="3"/>
  <c r="AZ20" i="3"/>
  <c r="AX18" i="3"/>
  <c r="X48" i="7"/>
  <c r="X50" i="7"/>
  <c r="Y53" i="7"/>
  <c r="V50" i="7"/>
  <c r="X52" i="7"/>
  <c r="Z54" i="7"/>
  <c r="W51" i="7"/>
  <c r="AB55" i="7"/>
  <c r="AA54" i="7"/>
  <c r="AC56" i="7"/>
  <c r="U50" i="7"/>
  <c r="W52" i="7"/>
  <c r="R47" i="7"/>
  <c r="AA50" i="7"/>
  <c r="K52" i="7"/>
  <c r="I50" i="7"/>
  <c r="AB52" i="7"/>
  <c r="AE55" i="7"/>
  <c r="W47" i="7"/>
  <c r="W49" i="7"/>
  <c r="Y51" i="7"/>
  <c r="AA53" i="7"/>
  <c r="T48" i="7"/>
  <c r="AB56" i="7"/>
  <c r="W50" i="7"/>
  <c r="V49" i="7"/>
  <c r="Z53" i="7"/>
  <c r="T49" i="7"/>
  <c r="S48" i="7"/>
  <c r="Y54" i="7"/>
  <c r="X47" i="7"/>
  <c r="AC52" i="7"/>
  <c r="AD53" i="7"/>
  <c r="AF55" i="7"/>
  <c r="F47" i="7"/>
  <c r="AC53" i="7"/>
  <c r="AF56" i="7"/>
  <c r="AA51" i="7"/>
  <c r="Z50" i="7"/>
  <c r="U47" i="7"/>
  <c r="AB54" i="7"/>
  <c r="AA55" i="7"/>
  <c r="U48" i="7"/>
  <c r="Y52" i="7"/>
  <c r="T47" i="7"/>
  <c r="V51" i="7"/>
  <c r="Z55" i="7"/>
  <c r="X53" i="7"/>
  <c r="AE54" i="7"/>
  <c r="L53" i="7"/>
  <c r="Y49" i="7"/>
  <c r="AD54" i="7"/>
  <c r="AC55" i="7"/>
  <c r="AD56" i="7"/>
  <c r="V48" i="7"/>
  <c r="Z52" i="7"/>
  <c r="S47" i="7"/>
  <c r="U49" i="7"/>
  <c r="X51" i="7"/>
  <c r="AA56" i="7"/>
  <c r="Z49" i="7"/>
  <c r="AG56" i="7"/>
  <c r="Y48" i="7"/>
  <c r="AB51" i="7"/>
  <c r="U52" i="7"/>
  <c r="R49" i="7"/>
  <c r="Y55" i="7"/>
  <c r="U51" i="7"/>
  <c r="R54" i="7"/>
  <c r="Q53" i="7"/>
  <c r="O51" i="7"/>
  <c r="AB49" i="7"/>
  <c r="AB47" i="7"/>
  <c r="AD49" i="7"/>
  <c r="AG52" i="7"/>
  <c r="W48" i="7"/>
  <c r="Z51" i="7"/>
  <c r="AI53" i="7"/>
  <c r="J51" i="7"/>
  <c r="O56" i="7"/>
  <c r="Y56" i="7"/>
  <c r="S50" i="7"/>
  <c r="Z56" i="7"/>
  <c r="Q47" i="7"/>
  <c r="S49" i="7"/>
  <c r="N50" i="7"/>
  <c r="P52" i="7"/>
  <c r="AF53" i="7"/>
  <c r="AC50" i="7"/>
  <c r="AI56" i="7"/>
  <c r="Z47" i="7"/>
  <c r="AC48" i="7"/>
  <c r="AJ55" i="7"/>
  <c r="V47" i="7"/>
  <c r="AA52" i="7"/>
  <c r="AD55" i="7"/>
  <c r="N55" i="7"/>
  <c r="X55" i="7"/>
  <c r="P47" i="7"/>
  <c r="Q48" i="7"/>
  <c r="X54" i="7"/>
  <c r="V52" i="7"/>
  <c r="T50" i="7"/>
  <c r="L48" i="7"/>
  <c r="S55" i="7"/>
  <c r="K47" i="7"/>
  <c r="T56" i="7"/>
  <c r="AA48" i="7"/>
  <c r="AH55" i="7"/>
  <c r="AD51" i="7"/>
  <c r="AI54" i="7"/>
  <c r="AK56" i="7"/>
  <c r="AE50" i="7"/>
  <c r="X49" i="7"/>
  <c r="AB53" i="7"/>
  <c r="AC54" i="7"/>
  <c r="AJ51" i="7"/>
  <c r="H49" i="7"/>
  <c r="M54" i="7"/>
  <c r="G48" i="7"/>
  <c r="T51" i="7"/>
  <c r="W54" i="7"/>
  <c r="V53" i="7"/>
  <c r="R48" i="7"/>
  <c r="W53" i="7"/>
  <c r="M49" i="7"/>
  <c r="AE52" i="7"/>
  <c r="AG54" i="7"/>
  <c r="AH53" i="7"/>
  <c r="AF51" i="7"/>
  <c r="Y50" i="7"/>
  <c r="AE56" i="7"/>
  <c r="AL53" i="7"/>
  <c r="AG48" i="7"/>
  <c r="AK52" i="7"/>
  <c r="AN55" i="7"/>
  <c r="AI50" i="7"/>
  <c r="AM54" i="7"/>
  <c r="AH49" i="7"/>
  <c r="AO56" i="7"/>
  <c r="AF47" i="7"/>
  <c r="W56" i="7"/>
  <c r="M56" i="7"/>
  <c r="D47" i="7"/>
  <c r="E48" i="7"/>
  <c r="AD48" i="7"/>
  <c r="AG51" i="7"/>
  <c r="O48" i="7"/>
  <c r="Q54" i="7"/>
  <c r="AD47" i="7"/>
  <c r="AM56" i="7"/>
  <c r="AL55" i="7"/>
  <c r="AG50" i="7"/>
  <c r="N48" i="7"/>
  <c r="T54" i="7"/>
  <c r="L55" i="7"/>
  <c r="G50" i="7"/>
  <c r="AF50" i="7"/>
  <c r="P53" i="7"/>
  <c r="T53" i="7"/>
  <c r="R51" i="7"/>
  <c r="J47" i="7"/>
  <c r="O52" i="7"/>
  <c r="AI52" i="7"/>
  <c r="S53" i="7"/>
  <c r="AF49" i="7"/>
  <c r="K54" i="7"/>
  <c r="I52" i="7"/>
  <c r="AJ54" i="7"/>
  <c r="AE49" i="7"/>
  <c r="N51" i="7"/>
  <c r="K48" i="7"/>
  <c r="L49" i="7"/>
  <c r="M50" i="7"/>
  <c r="S52" i="7"/>
  <c r="Q50" i="7"/>
  <c r="AK54" i="7"/>
  <c r="AH51" i="7"/>
  <c r="AE48" i="7"/>
  <c r="AJ53" i="7"/>
  <c r="L50" i="7"/>
  <c r="L52" i="7"/>
  <c r="AC47" i="7"/>
  <c r="J53" i="7"/>
  <c r="AK55" i="7"/>
  <c r="H51" i="7"/>
  <c r="F49" i="7"/>
  <c r="AH52" i="7"/>
  <c r="AL56" i="7"/>
  <c r="P49" i="7"/>
  <c r="S56" i="7"/>
  <c r="R55" i="7"/>
  <c r="U54" i="7"/>
  <c r="N47" i="7"/>
  <c r="V55" i="7"/>
  <c r="M47" i="7"/>
  <c r="V56" i="7"/>
  <c r="O49" i="7"/>
  <c r="Q55" i="7"/>
  <c r="K49" i="7"/>
  <c r="H48" i="7"/>
  <c r="AM55" i="7"/>
  <c r="AE47" i="7"/>
  <c r="AG53" i="7"/>
  <c r="P55" i="7"/>
  <c r="AB50" i="7"/>
  <c r="AA49" i="7"/>
  <c r="R52" i="7"/>
  <c r="P54" i="7"/>
  <c r="N52" i="7"/>
  <c r="J48" i="7"/>
  <c r="I47" i="7"/>
  <c r="K51" i="7"/>
  <c r="N54" i="7"/>
  <c r="M53" i="7"/>
  <c r="J50" i="7"/>
  <c r="AL54" i="7"/>
  <c r="AK53" i="7"/>
  <c r="AJ52" i="7"/>
  <c r="AB48" i="7"/>
  <c r="AF52" i="7"/>
  <c r="AE51" i="7"/>
  <c r="H47" i="7"/>
  <c r="Q56" i="7"/>
  <c r="Z48" i="7"/>
  <c r="AF54" i="7"/>
  <c r="G49" i="7"/>
  <c r="P50" i="7"/>
  <c r="Q51" i="7"/>
  <c r="G47" i="7"/>
  <c r="P56" i="7"/>
  <c r="O55" i="7"/>
  <c r="AH50" i="7"/>
  <c r="AJ56" i="7"/>
  <c r="AA47" i="7"/>
  <c r="I48" i="7"/>
  <c r="N53" i="7"/>
  <c r="O54" i="7"/>
  <c r="AD52" i="7"/>
  <c r="AC51" i="7"/>
  <c r="AE53" i="7"/>
  <c r="AG55" i="7"/>
  <c r="U55" i="7"/>
  <c r="O53" i="7"/>
  <c r="M51" i="7"/>
  <c r="R56" i="7"/>
  <c r="I49" i="7"/>
  <c r="AF48" i="7"/>
  <c r="AN56" i="7"/>
  <c r="AG49" i="7"/>
  <c r="AI51" i="7"/>
  <c r="AC49" i="7"/>
  <c r="AD50" i="7"/>
  <c r="AI55" i="7"/>
  <c r="AH54" i="7"/>
  <c r="L51" i="7"/>
  <c r="M52" i="7"/>
  <c r="J49" i="7"/>
  <c r="K50" i="7"/>
  <c r="AH56" i="7"/>
  <c r="Y47" i="7"/>
  <c r="M55" i="7"/>
  <c r="N56" i="7"/>
  <c r="K53" i="7"/>
  <c r="N49" i="7"/>
  <c r="O50" i="7"/>
  <c r="S54" i="7"/>
  <c r="T52" i="7"/>
  <c r="U53" i="7"/>
  <c r="V54" i="7"/>
  <c r="Q49" i="7"/>
  <c r="I53" i="7"/>
  <c r="AO55" i="7"/>
  <c r="AK51" i="7"/>
  <c r="AM53" i="7"/>
  <c r="AN54" i="7"/>
  <c r="AO54" i="7"/>
  <c r="H50" i="7"/>
  <c r="F48" i="7"/>
  <c r="T55" i="7"/>
  <c r="U56" i="7"/>
  <c r="M48" i="7"/>
  <c r="R50" i="7"/>
  <c r="P48" i="7"/>
  <c r="D48" i="7"/>
  <c r="H52" i="7"/>
  <c r="G51" i="7"/>
  <c r="AG47" i="7"/>
  <c r="AP56" i="7"/>
  <c r="AH47" i="7"/>
  <c r="AQ56" i="7"/>
  <c r="AJ49" i="7"/>
  <c r="AP55" i="7"/>
  <c r="J52" i="7"/>
  <c r="I51" i="7"/>
  <c r="AZ47" i="7"/>
  <c r="P51" i="7"/>
  <c r="L47" i="7"/>
  <c r="R53" i="7"/>
  <c r="C47" i="7"/>
  <c r="C19" i="7" s="1"/>
  <c r="L56" i="7"/>
  <c r="J54" i="7"/>
  <c r="K55" i="7"/>
  <c r="AH48" i="7"/>
  <c r="AJ50" i="7"/>
  <c r="AL52" i="7"/>
  <c r="E47" i="7"/>
  <c r="L54" i="7"/>
  <c r="Q52" i="7"/>
  <c r="S51" i="7"/>
  <c r="W55" i="7"/>
  <c r="O47" i="7"/>
  <c r="X56" i="7"/>
  <c r="E49" i="7"/>
  <c r="F50" i="7"/>
  <c r="AI49" i="7"/>
  <c r="AN53" i="7"/>
  <c r="AK50" i="7"/>
  <c r="AM52" i="7"/>
  <c r="AL51" i="7"/>
  <c r="AI48" i="7"/>
  <c r="AL50" i="7"/>
  <c r="AN52" i="7"/>
  <c r="AR56" i="7"/>
  <c r="AK49" i="7"/>
  <c r="AR55" i="7"/>
  <c r="AS56" i="7"/>
  <c r="AO52" i="7"/>
  <c r="AI47" i="7"/>
  <c r="AQ55" i="7"/>
  <c r="AP53" i="7"/>
  <c r="AQ54" i="7"/>
  <c r="AK48" i="7"/>
  <c r="AN51" i="7"/>
  <c r="AO53" i="7"/>
  <c r="AM51" i="7"/>
  <c r="AP54" i="7"/>
  <c r="AJ48" i="7"/>
  <c r="AJ47" i="7"/>
  <c r="AM50" i="7"/>
  <c r="AL49" i="7"/>
  <c r="AL48" i="7"/>
  <c r="AO51" i="7"/>
  <c r="AM49" i="7"/>
  <c r="AQ53" i="7"/>
  <c r="AS55" i="7"/>
  <c r="AT55" i="7"/>
  <c r="AN50" i="7"/>
  <c r="AK47" i="7"/>
  <c r="AT56" i="7"/>
  <c r="AP52" i="7"/>
  <c r="AR54" i="7"/>
  <c r="AO50" i="7"/>
  <c r="AM48" i="7"/>
  <c r="AU55" i="7"/>
  <c r="AR52" i="7"/>
  <c r="AP50" i="7"/>
  <c r="AQ52" i="7"/>
  <c r="AU56" i="7"/>
  <c r="AS54" i="7"/>
  <c r="AT54" i="7"/>
  <c r="AN48" i="7"/>
  <c r="AO49" i="7"/>
  <c r="AS53" i="7"/>
  <c r="AR53" i="7"/>
  <c r="AL47" i="7"/>
  <c r="AV56" i="7"/>
  <c r="AM47" i="7"/>
  <c r="AQ51" i="7"/>
  <c r="AP51" i="7"/>
  <c r="AN49" i="7"/>
  <c r="AR51" i="7"/>
  <c r="AP49" i="7"/>
  <c r="AQ50" i="7"/>
  <c r="AT53" i="7"/>
  <c r="AU54" i="7"/>
  <c r="AO48" i="7"/>
  <c r="AV55" i="7"/>
  <c r="AS52" i="7"/>
  <c r="AN47" i="7"/>
  <c r="AW56" i="7"/>
  <c r="AV54" i="7"/>
  <c r="AP48" i="7"/>
  <c r="AQ49" i="7"/>
  <c r="AT52" i="7"/>
  <c r="AS51" i="7"/>
  <c r="AO47" i="7"/>
  <c r="AU53" i="7"/>
  <c r="AR50" i="7"/>
  <c r="AW55" i="7"/>
  <c r="AX56" i="7"/>
  <c r="AX55" i="7"/>
  <c r="AP47" i="7"/>
  <c r="AQ48" i="7"/>
  <c r="AV53" i="7"/>
  <c r="AW54" i="7"/>
  <c r="AS50" i="7"/>
  <c r="AR49" i="7"/>
  <c r="AT51" i="7"/>
  <c r="AY56" i="7"/>
  <c r="AU52" i="7"/>
  <c r="AR48" i="7"/>
  <c r="AX54" i="7"/>
  <c r="AU51" i="7"/>
  <c r="AZ56" i="7"/>
  <c r="AT50" i="7"/>
  <c r="AQ47" i="7"/>
  <c r="AV52" i="7"/>
  <c r="AS49" i="7"/>
  <c r="AW53" i="7"/>
  <c r="AY55" i="7"/>
  <c r="AX53" i="7"/>
  <c r="AY54" i="7"/>
  <c r="AW52" i="7"/>
  <c r="AR47" i="7"/>
  <c r="AV51" i="7"/>
  <c r="AS48" i="7"/>
  <c r="AU50" i="7"/>
  <c r="AU49" i="7"/>
  <c r="AZ55" i="7"/>
  <c r="AT49" i="7"/>
  <c r="AZ54" i="7"/>
  <c r="AY53" i="7"/>
  <c r="AT47" i="7"/>
  <c r="AX52" i="7"/>
  <c r="AT48" i="7"/>
  <c r="AV50" i="7"/>
  <c r="AS47" i="7"/>
  <c r="AW51" i="7"/>
  <c r="AW50" i="7"/>
  <c r="AU48" i="7"/>
  <c r="AY52" i="7"/>
  <c r="AV49" i="7"/>
  <c r="AZ53" i="7"/>
  <c r="AX51" i="7"/>
  <c r="AY51" i="7"/>
  <c r="AX50" i="7"/>
  <c r="AW49" i="7"/>
  <c r="AU47" i="7"/>
  <c r="AZ52" i="7"/>
  <c r="AV48" i="7"/>
  <c r="AV47" i="7"/>
  <c r="AW48" i="7"/>
  <c r="AX48" i="7"/>
  <c r="AZ50" i="7"/>
  <c r="AY49" i="7"/>
  <c r="AY50" i="7"/>
  <c r="AX49" i="7"/>
  <c r="AW47" i="7"/>
  <c r="AZ51" i="7"/>
  <c r="AY48" i="7"/>
  <c r="AY47" i="7"/>
  <c r="AZ48" i="7"/>
  <c r="AZ49" i="7"/>
  <c r="AX47" i="7"/>
  <c r="C26" i="21"/>
  <c r="D107" i="13" s="1"/>
  <c r="D105" i="13" s="1"/>
  <c r="D22" i="21"/>
  <c r="D11" i="3" l="1"/>
  <c r="C11" i="3"/>
  <c r="D19" i="7"/>
  <c r="AS11" i="3"/>
  <c r="AW19" i="7"/>
  <c r="AI19" i="7"/>
  <c r="AM19" i="7"/>
  <c r="O19" i="7"/>
  <c r="AA11" i="3"/>
  <c r="AP19" i="7"/>
  <c r="AK19" i="7"/>
  <c r="X19" i="7"/>
  <c r="Y19" i="7"/>
  <c r="AY11" i="3"/>
  <c r="AV11" i="3"/>
  <c r="AU11" i="3"/>
  <c r="AT11" i="3"/>
  <c r="AL11" i="3"/>
  <c r="AI11" i="3"/>
  <c r="AG11" i="3"/>
  <c r="W19" i="7"/>
  <c r="AA19" i="7"/>
  <c r="Z19" i="7"/>
  <c r="E11" i="3"/>
  <c r="AS19" i="7"/>
  <c r="AT19" i="7"/>
  <c r="AN19" i="7"/>
  <c r="AZ19" i="7"/>
  <c r="AG19" i="7"/>
  <c r="I19" i="7"/>
  <c r="M19" i="7"/>
  <c r="Q19" i="7"/>
  <c r="U19" i="7"/>
  <c r="AX11" i="3"/>
  <c r="AQ11" i="3"/>
  <c r="AN11" i="3"/>
  <c r="AK11" i="3"/>
  <c r="AJ11" i="3"/>
  <c r="Y11" i="3"/>
  <c r="W11" i="3"/>
  <c r="R11" i="3"/>
  <c r="F11" i="3"/>
  <c r="P11" i="3"/>
  <c r="AD11" i="3"/>
  <c r="AY19" i="7"/>
  <c r="AU19" i="7"/>
  <c r="AR19" i="7"/>
  <c r="AQ19" i="7"/>
  <c r="AO19" i="7"/>
  <c r="AJ19" i="7"/>
  <c r="E19" i="7"/>
  <c r="H19" i="7"/>
  <c r="AE19" i="7"/>
  <c r="AC19" i="7"/>
  <c r="P19" i="7"/>
  <c r="F19" i="7"/>
  <c r="AR11" i="3"/>
  <c r="AP11" i="3"/>
  <c r="AO11" i="3"/>
  <c r="AM11" i="3"/>
  <c r="AH11" i="3"/>
  <c r="T11" i="3"/>
  <c r="J11" i="3"/>
  <c r="AB11" i="3"/>
  <c r="S11" i="3"/>
  <c r="X11" i="3"/>
  <c r="M11" i="3"/>
  <c r="AX19" i="7"/>
  <c r="AV19" i="7"/>
  <c r="AL19" i="7"/>
  <c r="L19" i="7"/>
  <c r="AH19" i="7"/>
  <c r="G19" i="7"/>
  <c r="N19" i="7"/>
  <c r="J19" i="7"/>
  <c r="AD19" i="7"/>
  <c r="K19" i="7"/>
  <c r="V19" i="7"/>
  <c r="AW11" i="3"/>
  <c r="AE11" i="3"/>
  <c r="H11" i="3"/>
  <c r="V11" i="3"/>
  <c r="AF11" i="3"/>
  <c r="K11" i="3"/>
  <c r="Q11" i="3"/>
  <c r="N11" i="3"/>
  <c r="I11" i="3"/>
  <c r="AF19" i="7"/>
  <c r="AB19" i="7"/>
  <c r="S19" i="7"/>
  <c r="T19" i="7"/>
  <c r="R19" i="7"/>
  <c r="AZ11" i="3"/>
  <c r="O11" i="3"/>
  <c r="L11" i="3"/>
  <c r="U11" i="3"/>
  <c r="Z11" i="3"/>
  <c r="AC11" i="3"/>
  <c r="G11" i="3"/>
  <c r="D26" i="21"/>
  <c r="E107" i="13" s="1"/>
  <c r="E105" i="13" s="1"/>
  <c r="E22" i="21"/>
  <c r="F22" i="21" l="1"/>
  <c r="E26" i="21"/>
  <c r="F107" i="13" s="1"/>
  <c r="F105" i="13" s="1"/>
  <c r="G22" i="21" l="1"/>
  <c r="F26" i="21"/>
  <c r="G107" i="13" s="1"/>
  <c r="G105" i="13" s="1"/>
  <c r="G26" i="21" l="1"/>
  <c r="H107" i="13" s="1"/>
  <c r="H105" i="13" s="1"/>
  <c r="H22" i="21"/>
  <c r="I22" i="21" l="1"/>
  <c r="H26" i="21"/>
  <c r="I107" i="13" s="1"/>
  <c r="I105" i="13" s="1"/>
  <c r="I26" i="21" l="1"/>
  <c r="J107" i="13" s="1"/>
  <c r="J105" i="13" s="1"/>
  <c r="J22" i="21"/>
  <c r="K22" i="21" l="1"/>
  <c r="K26" i="21" s="1"/>
  <c r="L107" i="13" s="1"/>
  <c r="L105" i="13" s="1"/>
  <c r="J26" i="21"/>
  <c r="K107" i="13" s="1"/>
  <c r="K105" i="13" s="1"/>
  <c r="C58" i="13"/>
  <c r="C57" i="13" s="1"/>
  <c r="B3" i="21"/>
  <c r="C3" i="7" l="1"/>
  <c r="C3" i="3"/>
  <c r="M19" i="21"/>
  <c r="N111" i="13" s="1"/>
  <c r="B23" i="21"/>
  <c r="P19" i="21"/>
  <c r="Q111" i="13" s="1"/>
  <c r="H19" i="21"/>
  <c r="I111" i="13" s="1"/>
  <c r="B19" i="21"/>
  <c r="C111" i="13" s="1"/>
  <c r="E19" i="21"/>
  <c r="F111" i="13" s="1"/>
  <c r="J19" i="21"/>
  <c r="K111" i="13" s="1"/>
  <c r="K19" i="21"/>
  <c r="L111" i="13" s="1"/>
  <c r="N19" i="21"/>
  <c r="O111" i="13" s="1"/>
  <c r="I19" i="21"/>
  <c r="J111" i="13" s="1"/>
  <c r="O19" i="21"/>
  <c r="P111" i="13" s="1"/>
  <c r="D19" i="21"/>
  <c r="E111" i="13" s="1"/>
  <c r="F19" i="21"/>
  <c r="G111" i="13" s="1"/>
  <c r="C19" i="21"/>
  <c r="D111" i="13" s="1"/>
  <c r="L19" i="21"/>
  <c r="M111" i="13" s="1"/>
  <c r="G19" i="21"/>
  <c r="H111" i="13" s="1"/>
  <c r="C3" i="13" l="1"/>
  <c r="S30" i="3"/>
  <c r="AD41" i="3"/>
  <c r="T31" i="3"/>
  <c r="AC40" i="3"/>
  <c r="AG44" i="3"/>
  <c r="AA38" i="3"/>
  <c r="AB34" i="3"/>
  <c r="AJ42" i="3"/>
  <c r="AD36" i="3"/>
  <c r="AF38" i="3"/>
  <c r="AG33" i="3"/>
  <c r="AH34" i="3"/>
  <c r="AE31" i="3"/>
  <c r="AO41" i="3"/>
  <c r="Y41" i="3"/>
  <c r="S35" i="3"/>
  <c r="Z42" i="3"/>
  <c r="R34" i="3"/>
  <c r="M34" i="3"/>
  <c r="N35" i="3"/>
  <c r="N31" i="3"/>
  <c r="X41" i="3"/>
  <c r="W40" i="3"/>
  <c r="O32" i="3"/>
  <c r="AE42" i="3"/>
  <c r="X35" i="3"/>
  <c r="Y36" i="3"/>
  <c r="AA33" i="3"/>
  <c r="AG39" i="3"/>
  <c r="AK43" i="3"/>
  <c r="Y31" i="3"/>
  <c r="AF32" i="3"/>
  <c r="AK37" i="3"/>
  <c r="AL38" i="3"/>
  <c r="AI35" i="3"/>
  <c r="O31" i="3"/>
  <c r="U37" i="3"/>
  <c r="P32" i="3"/>
  <c r="T36" i="3"/>
  <c r="I30" i="3"/>
  <c r="O36" i="3"/>
  <c r="K32" i="3"/>
  <c r="S40" i="3"/>
  <c r="R35" i="3"/>
  <c r="V39" i="3"/>
  <c r="U32" i="3"/>
  <c r="AB39" i="3"/>
  <c r="Z37" i="3"/>
  <c r="W34" i="3"/>
  <c r="AL44" i="3"/>
  <c r="Z32" i="3"/>
  <c r="AE37" i="3"/>
  <c r="AH40" i="3"/>
  <c r="X30" i="3"/>
  <c r="AM39" i="3"/>
  <c r="AD30" i="3"/>
  <c r="AN40" i="3"/>
  <c r="W39" i="3"/>
  <c r="N30" i="3"/>
  <c r="AB44" i="3"/>
  <c r="AA43" i="3"/>
  <c r="Q33" i="3"/>
  <c r="J31" i="3"/>
  <c r="V43" i="3"/>
  <c r="P37" i="3"/>
  <c r="Q38" i="3"/>
  <c r="S36" i="3"/>
  <c r="Q34" i="3"/>
  <c r="P33" i="3"/>
  <c r="AF43" i="3"/>
  <c r="V33" i="3"/>
  <c r="AI41" i="3"/>
  <c r="AC35" i="3"/>
  <c r="AQ43" i="3"/>
  <c r="AP42" i="3"/>
  <c r="AR44" i="3"/>
  <c r="AJ36" i="3"/>
  <c r="V38" i="3"/>
  <c r="X40" i="3"/>
  <c r="L33" i="3"/>
  <c r="W44" i="3"/>
  <c r="R39" i="3"/>
  <c r="T41" i="3"/>
  <c r="U42" i="3"/>
  <c r="Y42" i="3"/>
  <c r="AA44" i="3"/>
  <c r="U38" i="3"/>
  <c r="Z43" i="3"/>
  <c r="T37" i="3"/>
  <c r="M30" i="3"/>
  <c r="V35" i="3"/>
  <c r="AE44" i="3"/>
  <c r="W36" i="3"/>
  <c r="AC42" i="3"/>
  <c r="S38" i="3"/>
  <c r="T39" i="3"/>
  <c r="M32" i="3"/>
  <c r="L31" i="3"/>
  <c r="K31" i="3"/>
  <c r="U41" i="3"/>
  <c r="W43" i="3"/>
  <c r="N34" i="3"/>
  <c r="I32" i="3"/>
  <c r="AL40" i="3"/>
  <c r="AJ38" i="3"/>
  <c r="AC31" i="3"/>
  <c r="AP44" i="3"/>
  <c r="AG34" i="3"/>
  <c r="AL39" i="3"/>
  <c r="E31" i="3"/>
  <c r="L38" i="3"/>
  <c r="G33" i="3"/>
  <c r="J36" i="3"/>
  <c r="T33" i="3"/>
  <c r="U34" i="3"/>
  <c r="S32" i="3"/>
  <c r="W42" i="3"/>
  <c r="O34" i="3"/>
  <c r="P36" i="3"/>
  <c r="S39" i="3"/>
  <c r="R38" i="3"/>
  <c r="O35" i="3"/>
  <c r="H31" i="3"/>
  <c r="O38" i="3"/>
  <c r="P39" i="3"/>
  <c r="Q40" i="3"/>
  <c r="S42" i="3"/>
  <c r="M36" i="3"/>
  <c r="T43" i="3"/>
  <c r="AN42" i="3"/>
  <c r="AD32" i="3"/>
  <c r="AF34" i="3"/>
  <c r="AB30" i="3"/>
  <c r="AK38" i="3"/>
  <c r="AN41" i="3"/>
  <c r="AC30" i="3"/>
  <c r="AO42" i="3"/>
  <c r="AP43" i="3"/>
  <c r="AI36" i="3"/>
  <c r="AQ44" i="3"/>
  <c r="N40" i="3"/>
  <c r="D30" i="3"/>
  <c r="P42" i="3"/>
  <c r="Z39" i="3"/>
  <c r="AB41" i="3"/>
  <c r="Q30" i="3"/>
  <c r="X37" i="3"/>
  <c r="U40" i="3"/>
  <c r="N33" i="3"/>
  <c r="J30" i="3"/>
  <c r="Q37" i="3"/>
  <c r="X44" i="3"/>
  <c r="K34" i="3"/>
  <c r="N37" i="3"/>
  <c r="R41" i="3"/>
  <c r="G30" i="3"/>
  <c r="J33" i="3"/>
  <c r="AK39" i="3"/>
  <c r="AI37" i="3"/>
  <c r="AH36" i="3"/>
  <c r="AO43" i="3"/>
  <c r="AH35" i="3"/>
  <c r="AF33" i="3"/>
  <c r="AE32" i="3"/>
  <c r="AJ37" i="3"/>
  <c r="I35" i="3"/>
  <c r="K37" i="3"/>
  <c r="F32" i="3"/>
  <c r="Q43" i="3"/>
  <c r="R31" i="3"/>
  <c r="Y38" i="3"/>
  <c r="AD43" i="3"/>
  <c r="AA40" i="3"/>
  <c r="R37" i="3"/>
  <c r="V41" i="3"/>
  <c r="Y44" i="3"/>
  <c r="P35" i="3"/>
  <c r="X43" i="3"/>
  <c r="K30" i="3"/>
  <c r="Q36" i="3"/>
  <c r="M33" i="3"/>
  <c r="T40" i="3"/>
  <c r="V42" i="3"/>
  <c r="L32" i="3"/>
  <c r="L35" i="3"/>
  <c r="U44" i="3"/>
  <c r="AE33" i="3"/>
  <c r="AM41" i="3"/>
  <c r="AG35" i="3"/>
  <c r="AD31" i="3"/>
  <c r="AM40" i="3"/>
  <c r="O41" i="3"/>
  <c r="R44" i="3"/>
  <c r="H34" i="3"/>
  <c r="M39" i="3"/>
  <c r="AP40" i="3"/>
  <c r="AK35" i="3"/>
  <c r="AI33" i="3"/>
  <c r="AH32" i="3"/>
  <c r="AR42" i="3"/>
  <c r="AG31" i="3"/>
  <c r="AM37" i="3"/>
  <c r="AF30" i="3"/>
  <c r="AS43" i="3"/>
  <c r="AT44" i="3"/>
  <c r="AQ41" i="3"/>
  <c r="AJ34" i="3"/>
  <c r="AL36" i="3"/>
  <c r="AO39" i="3"/>
  <c r="AN38" i="3"/>
  <c r="AM36" i="3"/>
  <c r="T30" i="3"/>
  <c r="AB38" i="3"/>
  <c r="AC39" i="3"/>
  <c r="X34" i="3"/>
  <c r="V32" i="3"/>
  <c r="S33" i="3"/>
  <c r="AD34" i="3"/>
  <c r="W37" i="3"/>
  <c r="W31" i="3"/>
  <c r="Z34" i="3"/>
  <c r="X32" i="3"/>
  <c r="AG41" i="3"/>
  <c r="T44" i="3"/>
  <c r="R42" i="3"/>
  <c r="Q41" i="3"/>
  <c r="U33" i="3"/>
  <c r="W32" i="3"/>
  <c r="AF41" i="3"/>
  <c r="AG42" i="3"/>
  <c r="AM43" i="3"/>
  <c r="AA31" i="3"/>
  <c r="AG37" i="3"/>
  <c r="AN44" i="3"/>
  <c r="AC33" i="3"/>
  <c r="W35" i="3"/>
  <c r="R30" i="3"/>
  <c r="AB40" i="3"/>
  <c r="AA39" i="3"/>
  <c r="Z33" i="3"/>
  <c r="AF39" i="3"/>
  <c r="Y32" i="3"/>
  <c r="AH41" i="3"/>
  <c r="AG40" i="3"/>
  <c r="AD39" i="3"/>
  <c r="Y39" i="3"/>
  <c r="AF42" i="3"/>
  <c r="AI43" i="3"/>
  <c r="W33" i="3"/>
  <c r="AE41" i="3"/>
  <c r="F30" i="3"/>
  <c r="V36" i="3"/>
  <c r="X38" i="3"/>
  <c r="T34" i="3"/>
  <c r="AD44" i="3"/>
  <c r="R32" i="3"/>
  <c r="Y33" i="3"/>
  <c r="AD38" i="3"/>
  <c r="AC37" i="3"/>
  <c r="V30" i="3"/>
  <c r="N38" i="3"/>
  <c r="G31" i="3"/>
  <c r="AA36" i="3"/>
  <c r="X33" i="3"/>
  <c r="Y34" i="3"/>
  <c r="U30" i="3"/>
  <c r="Z30" i="3"/>
  <c r="AI39" i="3"/>
  <c r="AK41" i="3"/>
  <c r="AB32" i="3"/>
  <c r="T32" i="3"/>
  <c r="Z38" i="3"/>
  <c r="V34" i="3"/>
  <c r="AE43" i="3"/>
  <c r="AI42" i="3"/>
  <c r="AJ43" i="3"/>
  <c r="AL42" i="3"/>
  <c r="AH43" i="3"/>
  <c r="Y35" i="3"/>
  <c r="AJ44" i="3"/>
  <c r="J34" i="3"/>
  <c r="Q31" i="3"/>
  <c r="AJ40" i="3"/>
  <c r="AB42" i="3"/>
  <c r="Z40" i="3"/>
  <c r="AF40" i="3"/>
  <c r="K35" i="3"/>
  <c r="AE38" i="3"/>
  <c r="S43" i="3"/>
  <c r="P40" i="3"/>
  <c r="AB37" i="3"/>
  <c r="Z35" i="3"/>
  <c r="AI44" i="3"/>
  <c r="AH38" i="3"/>
  <c r="AA34" i="3"/>
  <c r="AF36" i="3"/>
  <c r="AE35" i="3"/>
  <c r="AD42" i="3"/>
  <c r="S31" i="3"/>
  <c r="X36" i="3"/>
  <c r="Y37" i="3"/>
  <c r="AB35" i="3"/>
  <c r="X31" i="3"/>
  <c r="AA41" i="3"/>
  <c r="AE39" i="3"/>
  <c r="AA37" i="3"/>
  <c r="O39" i="3"/>
  <c r="AD40" i="3"/>
  <c r="AH44" i="3"/>
  <c r="U31" i="3"/>
  <c r="Z36" i="3"/>
  <c r="AG43" i="3"/>
  <c r="M37" i="3"/>
  <c r="U35" i="3"/>
  <c r="P30" i="3"/>
  <c r="AC43" i="3"/>
  <c r="V31" i="3"/>
  <c r="AB36" i="3"/>
  <c r="AA35" i="3"/>
  <c r="AH42" i="3"/>
  <c r="L36" i="3"/>
  <c r="H32" i="3"/>
  <c r="I33" i="3"/>
  <c r="AE40" i="3"/>
  <c r="AC38" i="3"/>
  <c r="AC41" i="3"/>
  <c r="AD37" i="3"/>
  <c r="W30" i="3"/>
  <c r="AF44" i="3"/>
  <c r="AK44" i="3"/>
  <c r="AC36" i="3"/>
  <c r="AG32" i="3"/>
  <c r="AP41" i="3"/>
  <c r="AN39" i="3"/>
  <c r="AS44" i="3"/>
  <c r="AK36" i="3"/>
  <c r="R40" i="3"/>
  <c r="Q39" i="3"/>
  <c r="M35" i="3"/>
  <c r="H30" i="3"/>
  <c r="S41" i="3"/>
  <c r="AF37" i="3"/>
  <c r="AK42" i="3"/>
  <c r="F31" i="3"/>
  <c r="L37" i="3"/>
  <c r="O40" i="3"/>
  <c r="E30" i="3"/>
  <c r="G32" i="3"/>
  <c r="AZ30" i="3"/>
  <c r="L30" i="3"/>
  <c r="S37" i="3"/>
  <c r="X42" i="3"/>
  <c r="V40" i="3"/>
  <c r="U36" i="3"/>
  <c r="S34" i="3"/>
  <c r="Z41" i="3"/>
  <c r="J37" i="3"/>
  <c r="E32" i="3"/>
  <c r="F33" i="3"/>
  <c r="G34" i="3"/>
  <c r="K38" i="3"/>
  <c r="AE30" i="3"/>
  <c r="AQ42" i="3"/>
  <c r="T42" i="3"/>
  <c r="U43" i="3"/>
  <c r="O37" i="3"/>
  <c r="AH39" i="3"/>
  <c r="Y30" i="3"/>
  <c r="AJ41" i="3"/>
  <c r="AM44" i="3"/>
  <c r="AL43" i="3"/>
  <c r="P41" i="3"/>
  <c r="K36" i="3"/>
  <c r="N32" i="3"/>
  <c r="T38" i="3"/>
  <c r="M31" i="3"/>
  <c r="W41" i="3"/>
  <c r="P34" i="3"/>
  <c r="Q32" i="3"/>
  <c r="X39" i="3"/>
  <c r="W38" i="3"/>
  <c r="P31" i="3"/>
  <c r="O30" i="3"/>
  <c r="O42" i="3"/>
  <c r="P43" i="3"/>
  <c r="N41" i="3"/>
  <c r="AJ35" i="3"/>
  <c r="AL37" i="3"/>
  <c r="AI34" i="3"/>
  <c r="AH33" i="3"/>
  <c r="V44" i="3"/>
  <c r="J32" i="3"/>
  <c r="N36" i="3"/>
  <c r="L34" i="3"/>
  <c r="P38" i="3"/>
  <c r="Z31" i="3"/>
  <c r="AA32" i="3"/>
  <c r="AC34" i="3"/>
  <c r="AD35" i="3"/>
  <c r="J35" i="3"/>
  <c r="R43" i="3"/>
  <c r="Q42" i="3"/>
  <c r="R36" i="3"/>
  <c r="Z44" i="3"/>
  <c r="AC44" i="3"/>
  <c r="AA42" i="3"/>
  <c r="I36" i="3"/>
  <c r="Q44" i="3"/>
  <c r="C30" i="3"/>
  <c r="C12" i="3" s="1"/>
  <c r="C10" i="6" s="1"/>
  <c r="AM38" i="3"/>
  <c r="AR43" i="3"/>
  <c r="AF31" i="3"/>
  <c r="AO40" i="3"/>
  <c r="I31" i="3"/>
  <c r="K33" i="3"/>
  <c r="AE36" i="3"/>
  <c r="AB33" i="3"/>
  <c r="AI40" i="3"/>
  <c r="AG38" i="3"/>
  <c r="I34" i="3"/>
  <c r="S44" i="3"/>
  <c r="M38" i="3"/>
  <c r="H33" i="3"/>
  <c r="N39" i="3"/>
  <c r="O33" i="3"/>
  <c r="Y43" i="3"/>
  <c r="Q35" i="3"/>
  <c r="U39" i="3"/>
  <c r="AB43" i="3"/>
  <c r="R33" i="3"/>
  <c r="V37" i="3"/>
  <c r="Y40" i="3"/>
  <c r="T35" i="3"/>
  <c r="D31" i="3"/>
  <c r="H35" i="3"/>
  <c r="M40" i="3"/>
  <c r="L39" i="3"/>
  <c r="AL41" i="3"/>
  <c r="AH37" i="3"/>
  <c r="AO44" i="3"/>
  <c r="AO38" i="3"/>
  <c r="AQ40" i="3"/>
  <c r="AJ33" i="3"/>
  <c r="AP39" i="3"/>
  <c r="AN37" i="3"/>
  <c r="AJ39" i="3"/>
  <c r="AK40" i="3"/>
  <c r="AC32" i="3"/>
  <c r="AI38" i="3"/>
  <c r="AR41" i="3"/>
  <c r="AK34" i="3"/>
  <c r="AH31" i="3"/>
  <c r="AS42" i="3"/>
  <c r="AM42" i="3"/>
  <c r="AF35" i="3"/>
  <c r="AA30" i="3"/>
  <c r="AE34" i="3"/>
  <c r="AI32" i="3"/>
  <c r="AU44" i="3"/>
  <c r="AG36" i="3"/>
  <c r="AB31" i="3"/>
  <c r="AD33" i="3"/>
  <c r="AN43" i="3"/>
  <c r="AT43" i="3"/>
  <c r="AG30" i="3"/>
  <c r="AL35" i="3"/>
  <c r="AU43" i="3"/>
  <c r="AS41" i="3"/>
  <c r="AH30" i="3"/>
  <c r="AI31" i="3"/>
  <c r="AJ32" i="3"/>
  <c r="AT42" i="3"/>
  <c r="AQ39" i="3"/>
  <c r="AL34" i="3"/>
  <c r="AN36" i="3"/>
  <c r="AP38" i="3"/>
  <c r="AK33" i="3"/>
  <c r="AO37" i="3"/>
  <c r="AM35" i="3"/>
  <c r="AR40" i="3"/>
  <c r="AV44" i="3"/>
  <c r="AW44" i="3"/>
  <c r="AP37" i="3"/>
  <c r="AJ31" i="3"/>
  <c r="AL33" i="3"/>
  <c r="AU42" i="3"/>
  <c r="AI30" i="3"/>
  <c r="AK32" i="3"/>
  <c r="AS40" i="3"/>
  <c r="AQ38" i="3"/>
  <c r="AO36" i="3"/>
  <c r="AN35" i="3"/>
  <c r="AR39" i="3"/>
  <c r="AV43" i="3"/>
  <c r="AM34" i="3"/>
  <c r="AT41" i="3"/>
  <c r="AP36" i="3"/>
  <c r="AV42" i="3"/>
  <c r="AL32" i="3"/>
  <c r="AO35" i="3"/>
  <c r="AU41" i="3"/>
  <c r="AQ37" i="3"/>
  <c r="AK31" i="3"/>
  <c r="AS39" i="3"/>
  <c r="AT40" i="3"/>
  <c r="AJ30" i="3"/>
  <c r="AW43" i="3"/>
  <c r="AM33" i="3"/>
  <c r="AR38" i="3"/>
  <c r="AN34" i="3"/>
  <c r="AX44" i="3"/>
  <c r="AS38" i="3"/>
  <c r="AM32" i="3"/>
  <c r="AU40" i="3"/>
  <c r="AY44" i="3"/>
  <c r="AQ36" i="3"/>
  <c r="AP35" i="3"/>
  <c r="AK30" i="3"/>
  <c r="AX43" i="3"/>
  <c r="AT39" i="3"/>
  <c r="AR37" i="3"/>
  <c r="AV41" i="3"/>
  <c r="AO34" i="3"/>
  <c r="AL31" i="3"/>
  <c r="AN33" i="3"/>
  <c r="AW42" i="3"/>
  <c r="AV40" i="3"/>
  <c r="AY43" i="3"/>
  <c r="AN32" i="3"/>
  <c r="AP34" i="3"/>
  <c r="AU39" i="3"/>
  <c r="AQ35" i="3"/>
  <c r="AR36" i="3"/>
  <c r="AX42" i="3"/>
  <c r="AS37" i="3"/>
  <c r="AT38" i="3"/>
  <c r="AZ44" i="3"/>
  <c r="AW41" i="3"/>
  <c r="AO33" i="3"/>
  <c r="AM31" i="3"/>
  <c r="AL30" i="3"/>
  <c r="AZ43" i="3"/>
  <c r="AM30" i="3"/>
  <c r="AT37" i="3"/>
  <c r="AN31" i="3"/>
  <c r="AX41" i="3"/>
  <c r="AV39" i="3"/>
  <c r="AO32" i="3"/>
  <c r="AR35" i="3"/>
  <c r="AP33" i="3"/>
  <c r="AW40" i="3"/>
  <c r="AQ34" i="3"/>
  <c r="AS36" i="3"/>
  <c r="AU38" i="3"/>
  <c r="AY42" i="3"/>
  <c r="AV38" i="3"/>
  <c r="AT36" i="3"/>
  <c r="AQ33" i="3"/>
  <c r="AO31" i="3"/>
  <c r="AR34" i="3"/>
  <c r="AZ42" i="3"/>
  <c r="AW39" i="3"/>
  <c r="AS35" i="3"/>
  <c r="AY41" i="3"/>
  <c r="AU37" i="3"/>
  <c r="AN30" i="3"/>
  <c r="AP32" i="3"/>
  <c r="AX40" i="3"/>
  <c r="AX39" i="3"/>
  <c r="AT35" i="3"/>
  <c r="AP31" i="3"/>
  <c r="AZ41" i="3"/>
  <c r="AU36" i="3"/>
  <c r="AR33" i="3"/>
  <c r="AV37" i="3"/>
  <c r="AW38" i="3"/>
  <c r="AO30" i="3"/>
  <c r="AS34" i="3"/>
  <c r="AY40" i="3"/>
  <c r="AQ32" i="3"/>
  <c r="AT34" i="3"/>
  <c r="AV36" i="3"/>
  <c r="AW37" i="3"/>
  <c r="AU35" i="3"/>
  <c r="AZ40" i="3"/>
  <c r="AX38" i="3"/>
  <c r="AQ31" i="3"/>
  <c r="AS33" i="3"/>
  <c r="AP30" i="3"/>
  <c r="AR32" i="3"/>
  <c r="AY39" i="3"/>
  <c r="AR31" i="3"/>
  <c r="AY38" i="3"/>
  <c r="AW36" i="3"/>
  <c r="AX37" i="3"/>
  <c r="AV35" i="3"/>
  <c r="AZ39" i="3"/>
  <c r="AT33" i="3"/>
  <c r="AQ30" i="3"/>
  <c r="AU34" i="3"/>
  <c r="AS32" i="3"/>
  <c r="AR30" i="3"/>
  <c r="AU33" i="3"/>
  <c r="AV34" i="3"/>
  <c r="AX36" i="3"/>
  <c r="AY37" i="3"/>
  <c r="AS31" i="3"/>
  <c r="AZ38" i="3"/>
  <c r="AW35" i="3"/>
  <c r="AT32" i="3"/>
  <c r="AX35" i="3"/>
  <c r="AS30" i="3"/>
  <c r="AT31" i="3"/>
  <c r="AU32" i="3"/>
  <c r="AW34" i="3"/>
  <c r="AZ37" i="3"/>
  <c r="AY36" i="3"/>
  <c r="AV33" i="3"/>
  <c r="AZ36" i="3"/>
  <c r="AY35" i="3"/>
  <c r="AT30" i="3"/>
  <c r="AU31" i="3"/>
  <c r="AW33" i="3"/>
  <c r="AX34" i="3"/>
  <c r="AV32" i="3"/>
  <c r="AX33" i="3"/>
  <c r="AU30" i="3"/>
  <c r="AV31" i="3"/>
  <c r="AZ35" i="3"/>
  <c r="AY34" i="3"/>
  <c r="AW32" i="3"/>
  <c r="AV30" i="3"/>
  <c r="AY33" i="3"/>
  <c r="AZ34" i="3"/>
  <c r="AW31" i="3"/>
  <c r="AX32" i="3"/>
  <c r="AW30" i="3"/>
  <c r="AZ33" i="3"/>
  <c r="AY32" i="3"/>
  <c r="AX31" i="3"/>
  <c r="AY30" i="3"/>
  <c r="AZ31" i="3"/>
  <c r="AZ32" i="3"/>
  <c r="AY31" i="3"/>
  <c r="AX30" i="3"/>
  <c r="AP69" i="7"/>
  <c r="AD66" i="7"/>
  <c r="AA63" i="7"/>
  <c r="AB64" i="7"/>
  <c r="AC65" i="7"/>
  <c r="AH70" i="7"/>
  <c r="W61" i="7"/>
  <c r="AG71" i="7"/>
  <c r="AI73" i="7"/>
  <c r="AC67" i="7"/>
  <c r="AD68" i="7"/>
  <c r="AG73" i="7"/>
  <c r="AF72" i="7"/>
  <c r="Z65" i="7"/>
  <c r="AE70" i="7"/>
  <c r="U60" i="7"/>
  <c r="V63" i="7"/>
  <c r="Y66" i="7"/>
  <c r="AB69" i="7"/>
  <c r="AE72" i="7"/>
  <c r="AD65" i="7"/>
  <c r="AE66" i="7"/>
  <c r="AH69" i="7"/>
  <c r="X59" i="7"/>
  <c r="AG68" i="7"/>
  <c r="N67" i="7"/>
  <c r="T73" i="7"/>
  <c r="AE67" i="7"/>
  <c r="X60" i="7"/>
  <c r="W59" i="7"/>
  <c r="X62" i="7"/>
  <c r="AB66" i="7"/>
  <c r="Z64" i="7"/>
  <c r="AC69" i="7"/>
  <c r="AE71" i="7"/>
  <c r="AB68" i="7"/>
  <c r="T60" i="7"/>
  <c r="W62" i="7"/>
  <c r="AB67" i="7"/>
  <c r="AA66" i="7"/>
  <c r="AF71" i="7"/>
  <c r="AA68" i="7"/>
  <c r="W64" i="7"/>
  <c r="Z67" i="7"/>
  <c r="Y60" i="7"/>
  <c r="AL73" i="7"/>
  <c r="AK72" i="7"/>
  <c r="H61" i="7"/>
  <c r="O68" i="7"/>
  <c r="L65" i="7"/>
  <c r="AJ72" i="7"/>
  <c r="Z62" i="7"/>
  <c r="AI71" i="7"/>
  <c r="AE69" i="7"/>
  <c r="AA65" i="7"/>
  <c r="V60" i="7"/>
  <c r="U59" i="7"/>
  <c r="U61" i="7"/>
  <c r="X64" i="7"/>
  <c r="AD70" i="7"/>
  <c r="AA67" i="7"/>
  <c r="W63" i="7"/>
  <c r="AH73" i="7"/>
  <c r="AC68" i="7"/>
  <c r="AG72" i="7"/>
  <c r="AC70" i="7"/>
  <c r="X65" i="7"/>
  <c r="U62" i="7"/>
  <c r="Z61" i="7"/>
  <c r="AB63" i="7"/>
  <c r="AJ71" i="7"/>
  <c r="AA62" i="7"/>
  <c r="AF67" i="7"/>
  <c r="I62" i="7"/>
  <c r="P69" i="7"/>
  <c r="Q70" i="7"/>
  <c r="AF68" i="7"/>
  <c r="AG69" i="7"/>
  <c r="AK73" i="7"/>
  <c r="Y61" i="7"/>
  <c r="AF70" i="7"/>
  <c r="AH72" i="7"/>
  <c r="Y63" i="7"/>
  <c r="Y65" i="7"/>
  <c r="Z66" i="7"/>
  <c r="S59" i="7"/>
  <c r="V62" i="7"/>
  <c r="Y64" i="7"/>
  <c r="T59" i="7"/>
  <c r="V61" i="7"/>
  <c r="AD69" i="7"/>
  <c r="X63" i="7"/>
  <c r="T61" i="7"/>
  <c r="AD71" i="7"/>
  <c r="S60" i="7"/>
  <c r="R59" i="7"/>
  <c r="AF73" i="7"/>
  <c r="AI70" i="7"/>
  <c r="AC64" i="7"/>
  <c r="J63" i="7"/>
  <c r="R71" i="7"/>
  <c r="F59" i="7"/>
  <c r="K64" i="7"/>
  <c r="S72" i="7"/>
  <c r="G60" i="7"/>
  <c r="W66" i="7"/>
  <c r="AD73" i="7"/>
  <c r="AC72" i="7"/>
  <c r="AB71" i="7"/>
  <c r="T62" i="7"/>
  <c r="V64" i="7"/>
  <c r="AA69" i="7"/>
  <c r="AE73" i="7"/>
  <c r="K59" i="7"/>
  <c r="X72" i="7"/>
  <c r="L60" i="7"/>
  <c r="AK70" i="7"/>
  <c r="AC62" i="7"/>
  <c r="AG66" i="7"/>
  <c r="AE64" i="7"/>
  <c r="AD63" i="7"/>
  <c r="AC60" i="7"/>
  <c r="AH65" i="7"/>
  <c r="AI66" i="7"/>
  <c r="AJ67" i="7"/>
  <c r="AF69" i="7"/>
  <c r="AE68" i="7"/>
  <c r="Y62" i="7"/>
  <c r="AJ73" i="7"/>
  <c r="Q60" i="7"/>
  <c r="Y68" i="7"/>
  <c r="V65" i="7"/>
  <c r="T63" i="7"/>
  <c r="U63" i="7"/>
  <c r="W65" i="7"/>
  <c r="Z68" i="7"/>
  <c r="AC71" i="7"/>
  <c r="T68" i="7"/>
  <c r="V70" i="7"/>
  <c r="N62" i="7"/>
  <c r="U69" i="7"/>
  <c r="AN73" i="7"/>
  <c r="Z59" i="7"/>
  <c r="AG64" i="7"/>
  <c r="AE62" i="7"/>
  <c r="AM70" i="7"/>
  <c r="AL69" i="7"/>
  <c r="W60" i="7"/>
  <c r="AC66" i="7"/>
  <c r="V59" i="7"/>
  <c r="M66" i="7"/>
  <c r="AA70" i="7"/>
  <c r="X67" i="7"/>
  <c r="P59" i="7"/>
  <c r="AB70" i="7"/>
  <c r="Y67" i="7"/>
  <c r="S61" i="7"/>
  <c r="Q65" i="7"/>
  <c r="P64" i="7"/>
  <c r="S67" i="7"/>
  <c r="AB61" i="7"/>
  <c r="AF65" i="7"/>
  <c r="AH67" i="7"/>
  <c r="AB59" i="7"/>
  <c r="AF63" i="7"/>
  <c r="AN71" i="7"/>
  <c r="AH71" i="7"/>
  <c r="Z63" i="7"/>
  <c r="AA64" i="7"/>
  <c r="R61" i="7"/>
  <c r="S62" i="7"/>
  <c r="Z69" i="7"/>
  <c r="U64" i="7"/>
  <c r="X66" i="7"/>
  <c r="R60" i="7"/>
  <c r="Q59" i="7"/>
  <c r="AD72" i="7"/>
  <c r="W71" i="7"/>
  <c r="M61" i="7"/>
  <c r="R66" i="7"/>
  <c r="O63" i="7"/>
  <c r="Y73" i="7"/>
  <c r="AA60" i="7"/>
  <c r="AL71" i="7"/>
  <c r="AI68" i="7"/>
  <c r="AM72" i="7"/>
  <c r="AJ69" i="7"/>
  <c r="AK68" i="7"/>
  <c r="AP73" i="7"/>
  <c r="AO72" i="7"/>
  <c r="AD61" i="7"/>
  <c r="AG70" i="7"/>
  <c r="AB65" i="7"/>
  <c r="AD67" i="7"/>
  <c r="AI72" i="7"/>
  <c r="X61" i="7"/>
  <c r="AT73" i="7"/>
  <c r="AG60" i="7"/>
  <c r="AH61" i="7"/>
  <c r="AR71" i="7"/>
  <c r="AQ70" i="7"/>
  <c r="AO68" i="7"/>
  <c r="AS72" i="7"/>
  <c r="AN67" i="7"/>
  <c r="AM66" i="7"/>
  <c r="AL65" i="7"/>
  <c r="AF59" i="7"/>
  <c r="AJ63" i="7"/>
  <c r="AI62" i="7"/>
  <c r="AK64" i="7"/>
  <c r="AK63" i="7"/>
  <c r="O64" i="7"/>
  <c r="AQ73" i="7"/>
  <c r="J65" i="7"/>
  <c r="AI65" i="7"/>
  <c r="P71" i="7"/>
  <c r="N69" i="7"/>
  <c r="E60" i="7"/>
  <c r="AE61" i="7"/>
  <c r="AG63" i="7"/>
  <c r="AO71" i="7"/>
  <c r="P65" i="7"/>
  <c r="R63" i="7"/>
  <c r="T69" i="7"/>
  <c r="R67" i="7"/>
  <c r="W72" i="7"/>
  <c r="O60" i="7"/>
  <c r="Y70" i="7"/>
  <c r="T65" i="7"/>
  <c r="AA72" i="7"/>
  <c r="AJ65" i="7"/>
  <c r="AN69" i="7"/>
  <c r="U67" i="7"/>
  <c r="N60" i="7"/>
  <c r="P68" i="7"/>
  <c r="Q67" i="7"/>
  <c r="I64" i="7"/>
  <c r="K66" i="7"/>
  <c r="AC59" i="7"/>
  <c r="H63" i="7"/>
  <c r="G62" i="7"/>
  <c r="D59" i="7"/>
  <c r="AH64" i="7"/>
  <c r="AN70" i="7"/>
  <c r="AF62" i="7"/>
  <c r="Q66" i="7"/>
  <c r="S68" i="7"/>
  <c r="Q62" i="7"/>
  <c r="Z71" i="7"/>
  <c r="N59" i="7"/>
  <c r="P61" i="7"/>
  <c r="AF61" i="7"/>
  <c r="AM68" i="7"/>
  <c r="AE60" i="7"/>
  <c r="AI64" i="7"/>
  <c r="AL67" i="7"/>
  <c r="AO70" i="7"/>
  <c r="Z72" i="7"/>
  <c r="K63" i="7"/>
  <c r="J62" i="7"/>
  <c r="M65" i="7"/>
  <c r="O70" i="7"/>
  <c r="Q72" i="7"/>
  <c r="AL68" i="7"/>
  <c r="R73" i="7"/>
  <c r="M68" i="7"/>
  <c r="N63" i="7"/>
  <c r="AJ66" i="7"/>
  <c r="AD60" i="7"/>
  <c r="J59" i="7"/>
  <c r="W68" i="7"/>
  <c r="M62" i="7"/>
  <c r="L61" i="7"/>
  <c r="V67" i="7"/>
  <c r="X69" i="7"/>
  <c r="S64" i="7"/>
  <c r="AG62" i="7"/>
  <c r="AD59" i="7"/>
  <c r="S65" i="7"/>
  <c r="L67" i="7"/>
  <c r="F61" i="7"/>
  <c r="AP72" i="7"/>
  <c r="AK67" i="7"/>
  <c r="AM69" i="7"/>
  <c r="V71" i="7"/>
  <c r="AB73" i="7"/>
  <c r="K60" i="7"/>
  <c r="U70" i="7"/>
  <c r="X73" i="7"/>
  <c r="U66" i="7"/>
  <c r="I61" i="7"/>
  <c r="AH63" i="7"/>
  <c r="AP71" i="7"/>
  <c r="AQ72" i="7"/>
  <c r="AR73" i="7"/>
  <c r="AK66" i="7"/>
  <c r="U73" i="7"/>
  <c r="V68" i="7"/>
  <c r="P62" i="7"/>
  <c r="O61" i="7"/>
  <c r="O65" i="7"/>
  <c r="S69" i="7"/>
  <c r="V72" i="7"/>
  <c r="N66" i="7"/>
  <c r="G59" i="7"/>
  <c r="Q69" i="7"/>
  <c r="H60" i="7"/>
  <c r="AF60" i="7"/>
  <c r="AL66" i="7"/>
  <c r="AE59" i="7"/>
  <c r="AQ71" i="7"/>
  <c r="AC61" i="7"/>
  <c r="AM71" i="7"/>
  <c r="AD62" i="7"/>
  <c r="AB60" i="7"/>
  <c r="AK69" i="7"/>
  <c r="AF64" i="7"/>
  <c r="P67" i="7"/>
  <c r="R69" i="7"/>
  <c r="U72" i="7"/>
  <c r="K62" i="7"/>
  <c r="N65" i="7"/>
  <c r="AK71" i="7"/>
  <c r="AE65" i="7"/>
  <c r="AA61" i="7"/>
  <c r="AM73" i="7"/>
  <c r="M67" i="7"/>
  <c r="H62" i="7"/>
  <c r="AA73" i="7"/>
  <c r="Y71" i="7"/>
  <c r="T66" i="7"/>
  <c r="K61" i="7"/>
  <c r="M63" i="7"/>
  <c r="O67" i="7"/>
  <c r="AP70" i="7"/>
  <c r="AO69" i="7"/>
  <c r="AI63" i="7"/>
  <c r="AI67" i="7"/>
  <c r="AG65" i="7"/>
  <c r="AL70" i="7"/>
  <c r="T71" i="7"/>
  <c r="H59" i="7"/>
  <c r="I60" i="7"/>
  <c r="M64" i="7"/>
  <c r="S70" i="7"/>
  <c r="AF66" i="7"/>
  <c r="AD64" i="7"/>
  <c r="AH68" i="7"/>
  <c r="AL72" i="7"/>
  <c r="O69" i="7"/>
  <c r="M59" i="7"/>
  <c r="R64" i="7"/>
  <c r="P66" i="7"/>
  <c r="T70" i="7"/>
  <c r="L62" i="7"/>
  <c r="U71" i="7"/>
  <c r="W73" i="7"/>
  <c r="I59" i="7"/>
  <c r="L64" i="7"/>
  <c r="AN68" i="7"/>
  <c r="AH62" i="7"/>
  <c r="AR72" i="7"/>
  <c r="AJ64" i="7"/>
  <c r="AG61" i="7"/>
  <c r="AJ68" i="7"/>
  <c r="AO73" i="7"/>
  <c r="AN72" i="7"/>
  <c r="AE63" i="7"/>
  <c r="Q68" i="7"/>
  <c r="L63" i="7"/>
  <c r="O66" i="7"/>
  <c r="AJ70" i="7"/>
  <c r="AG67" i="7"/>
  <c r="Y59" i="7"/>
  <c r="N68" i="7"/>
  <c r="Q63" i="7"/>
  <c r="W69" i="7"/>
  <c r="X70" i="7"/>
  <c r="J60" i="7"/>
  <c r="R68" i="7"/>
  <c r="N64" i="7"/>
  <c r="S71" i="7"/>
  <c r="R70" i="7"/>
  <c r="T72" i="7"/>
  <c r="AK65" i="7"/>
  <c r="AM67" i="7"/>
  <c r="AS73" i="7"/>
  <c r="AA59" i="7"/>
  <c r="AH66" i="7"/>
  <c r="V73" i="7"/>
  <c r="J61" i="7"/>
  <c r="AI69" i="7"/>
  <c r="AB62" i="7"/>
  <c r="Z60" i="7"/>
  <c r="AC63" i="7"/>
  <c r="K65" i="7"/>
  <c r="Q71" i="7"/>
  <c r="L66" i="7"/>
  <c r="I63" i="7"/>
  <c r="X71" i="7"/>
  <c r="R65" i="7"/>
  <c r="Z73" i="7"/>
  <c r="U68" i="7"/>
  <c r="AB72" i="7"/>
  <c r="X68" i="7"/>
  <c r="D60" i="7"/>
  <c r="C59" i="7"/>
  <c r="C20" i="7" s="1"/>
  <c r="C41" i="7" s="1"/>
  <c r="J66" i="7"/>
  <c r="M69" i="7"/>
  <c r="Q73" i="7"/>
  <c r="AN66" i="7"/>
  <c r="AP68" i="7"/>
  <c r="AL63" i="7"/>
  <c r="AS70" i="7"/>
  <c r="AV73" i="7"/>
  <c r="AJ61" i="7"/>
  <c r="AI60" i="7"/>
  <c r="AO66" i="7"/>
  <c r="AT71" i="7"/>
  <c r="J64" i="7"/>
  <c r="S73" i="7"/>
  <c r="F60" i="7"/>
  <c r="O62" i="7"/>
  <c r="W70" i="7"/>
  <c r="P63" i="7"/>
  <c r="T64" i="7"/>
  <c r="AA71" i="7"/>
  <c r="R62" i="7"/>
  <c r="U65" i="7"/>
  <c r="AC73" i="7"/>
  <c r="K67" i="7"/>
  <c r="G63" i="7"/>
  <c r="N70" i="7"/>
  <c r="AJ62" i="7"/>
  <c r="AH60" i="7"/>
  <c r="AO67" i="7"/>
  <c r="AU72" i="7"/>
  <c r="AP67" i="7"/>
  <c r="AM64" i="7"/>
  <c r="AK62" i="7"/>
  <c r="AS71" i="7"/>
  <c r="G61" i="7"/>
  <c r="R72" i="7"/>
  <c r="Y72" i="7"/>
  <c r="Q64" i="7"/>
  <c r="V69" i="7"/>
  <c r="Y69" i="7"/>
  <c r="V66" i="7"/>
  <c r="P60" i="7"/>
  <c r="Z70" i="7"/>
  <c r="Q61" i="7"/>
  <c r="O59" i="7"/>
  <c r="L68" i="7"/>
  <c r="O71" i="7"/>
  <c r="P72" i="7"/>
  <c r="AQ69" i="7"/>
  <c r="AN65" i="7"/>
  <c r="P70" i="7"/>
  <c r="E59" i="7"/>
  <c r="AZ59" i="7"/>
  <c r="S66" i="7"/>
  <c r="T67" i="7"/>
  <c r="M60" i="7"/>
  <c r="L59" i="7"/>
  <c r="N61" i="7"/>
  <c r="W67" i="7"/>
  <c r="S63" i="7"/>
  <c r="F62" i="7"/>
  <c r="I65" i="7"/>
  <c r="H64" i="7"/>
  <c r="E61" i="7"/>
  <c r="AI61" i="7"/>
  <c r="AL64" i="7"/>
  <c r="AT72" i="7"/>
  <c r="AU73" i="7"/>
  <c r="AM65" i="7"/>
  <c r="AR70" i="7"/>
  <c r="AG59" i="7"/>
  <c r="AR69" i="7"/>
  <c r="AQ68" i="7"/>
  <c r="AH59" i="7"/>
  <c r="AV72" i="7"/>
  <c r="AR68" i="7"/>
  <c r="AX73" i="7"/>
  <c r="AM62" i="7"/>
  <c r="AW72" i="7"/>
  <c r="AU70" i="7"/>
  <c r="AM63" i="7"/>
  <c r="AW73" i="7"/>
  <c r="AP66" i="7"/>
  <c r="AP65" i="7"/>
  <c r="AV71" i="7"/>
  <c r="AQ66" i="7"/>
  <c r="AS68" i="7"/>
  <c r="AN63" i="7"/>
  <c r="AK61" i="7"/>
  <c r="AI59" i="7"/>
  <c r="AT70" i="7"/>
  <c r="AQ67" i="7"/>
  <c r="AO65" i="7"/>
  <c r="AL62" i="7"/>
  <c r="AS69" i="7"/>
  <c r="AN64" i="7"/>
  <c r="AU71" i="7"/>
  <c r="AJ60" i="7"/>
  <c r="AT69" i="7"/>
  <c r="AJ59" i="7"/>
  <c r="AR67" i="7"/>
  <c r="AK60" i="7"/>
  <c r="AO64" i="7"/>
  <c r="AL61" i="7"/>
  <c r="AP64" i="7"/>
  <c r="AV70" i="7"/>
  <c r="AX72" i="7"/>
  <c r="AU69" i="7"/>
  <c r="AR66" i="7"/>
  <c r="AQ65" i="7"/>
  <c r="AO63" i="7"/>
  <c r="AN62" i="7"/>
  <c r="AW71" i="7"/>
  <c r="AS67" i="7"/>
  <c r="AY73" i="7"/>
  <c r="AT68" i="7"/>
  <c r="AL60" i="7"/>
  <c r="AK59" i="7"/>
  <c r="AM61" i="7"/>
  <c r="AQ64" i="7"/>
  <c r="AZ73" i="7"/>
  <c r="AL59" i="7"/>
  <c r="AV69" i="7"/>
  <c r="AM59" i="7"/>
  <c r="AT66" i="7"/>
  <c r="AN60" i="7"/>
  <c r="AV68" i="7"/>
  <c r="AR65" i="7"/>
  <c r="AY72" i="7"/>
  <c r="AX71" i="7"/>
  <c r="AS65" i="7"/>
  <c r="AP62" i="7"/>
  <c r="AX70" i="7"/>
  <c r="AR64" i="7"/>
  <c r="AQ63" i="7"/>
  <c r="AT67" i="7"/>
  <c r="AO62" i="7"/>
  <c r="AM60" i="7"/>
  <c r="AS66" i="7"/>
  <c r="AW69" i="7"/>
  <c r="AO61" i="7"/>
  <c r="AZ72" i="7"/>
  <c r="AY71" i="7"/>
  <c r="AU67" i="7"/>
  <c r="AW70" i="7"/>
  <c r="AU68" i="7"/>
  <c r="AN61" i="7"/>
  <c r="AP63" i="7"/>
  <c r="AW68" i="7"/>
  <c r="AQ62" i="7"/>
  <c r="AU66" i="7"/>
  <c r="AY70" i="7"/>
  <c r="AR63" i="7"/>
  <c r="AT65" i="7"/>
  <c r="AN59" i="7"/>
  <c r="AV67" i="7"/>
  <c r="AO60" i="7"/>
  <c r="AX69" i="7"/>
  <c r="AS64" i="7"/>
  <c r="AV66" i="7"/>
  <c r="AZ71" i="7"/>
  <c r="AP61" i="7"/>
  <c r="AP60" i="7"/>
  <c r="AY69" i="7"/>
  <c r="AX68" i="7"/>
  <c r="AW67" i="7"/>
  <c r="AO59" i="7"/>
  <c r="AU65" i="7"/>
  <c r="AR62" i="7"/>
  <c r="AT64" i="7"/>
  <c r="AS63" i="7"/>
  <c r="AQ61" i="7"/>
  <c r="AZ70" i="7"/>
  <c r="AZ69" i="7"/>
  <c r="AV65" i="7"/>
  <c r="AT63" i="7"/>
  <c r="AS62" i="7"/>
  <c r="AR61" i="7"/>
  <c r="AQ60" i="7"/>
  <c r="AP59" i="7"/>
  <c r="AU64" i="7"/>
  <c r="AX67" i="7"/>
  <c r="AY68" i="7"/>
  <c r="AW66" i="7"/>
  <c r="AR60" i="7"/>
  <c r="AT62" i="7"/>
  <c r="AU63" i="7"/>
  <c r="AX66" i="7"/>
  <c r="AZ68" i="7"/>
  <c r="AW65" i="7"/>
  <c r="AY67" i="7"/>
  <c r="AT61" i="7"/>
  <c r="AQ59" i="7"/>
  <c r="AS61" i="7"/>
  <c r="AV64" i="7"/>
  <c r="AR59" i="7"/>
  <c r="AU62" i="7"/>
  <c r="AS60" i="7"/>
  <c r="AW64" i="7"/>
  <c r="AX65" i="7"/>
  <c r="AV63" i="7"/>
  <c r="AY66" i="7"/>
  <c r="AZ67" i="7"/>
  <c r="AS59" i="7"/>
  <c r="AU61" i="7"/>
  <c r="AW63" i="7"/>
  <c r="AX64" i="7"/>
  <c r="AZ66" i="7"/>
  <c r="AV62" i="7"/>
  <c r="AT60" i="7"/>
  <c r="AY65" i="7"/>
  <c r="AW62" i="7"/>
  <c r="AU60" i="7"/>
  <c r="AZ65" i="7"/>
  <c r="AX63" i="7"/>
  <c r="AT59" i="7"/>
  <c r="AY64" i="7"/>
  <c r="AV61" i="7"/>
  <c r="AY63" i="7"/>
  <c r="AU59" i="7"/>
  <c r="AW61" i="7"/>
  <c r="AZ63" i="7"/>
  <c r="AV60" i="7"/>
  <c r="AX62" i="7"/>
  <c r="AZ64" i="7"/>
  <c r="AY61" i="7"/>
  <c r="AW59" i="7"/>
  <c r="AV59" i="7"/>
  <c r="AZ62" i="7"/>
  <c r="AX60" i="7"/>
  <c r="AX61" i="7"/>
  <c r="AW60" i="7"/>
  <c r="AY62" i="7"/>
  <c r="AZ60" i="7"/>
  <c r="AY59" i="7"/>
  <c r="AX59" i="7"/>
  <c r="AZ61" i="7"/>
  <c r="AY60" i="7"/>
  <c r="B27" i="21"/>
  <c r="C112" i="13" s="1"/>
  <c r="C110" i="13" s="1"/>
  <c r="C23" i="21"/>
  <c r="C120" i="13" l="1"/>
  <c r="AV12" i="3"/>
  <c r="AV10" i="6" s="1"/>
  <c r="AA12" i="3"/>
  <c r="AA10" i="6" s="1"/>
  <c r="AS12" i="3"/>
  <c r="AS10" i="6" s="1"/>
  <c r="H12" i="3"/>
  <c r="H10" i="6" s="1"/>
  <c r="W12" i="3"/>
  <c r="W10" i="6" s="1"/>
  <c r="AR12" i="3"/>
  <c r="AR10" i="6" s="1"/>
  <c r="AN12" i="3"/>
  <c r="AN10" i="6" s="1"/>
  <c r="V12" i="3"/>
  <c r="V10" i="6" s="1"/>
  <c r="AU12" i="3"/>
  <c r="AU10" i="6" s="1"/>
  <c r="AQ12" i="3"/>
  <c r="AQ10" i="6" s="1"/>
  <c r="AM12" i="3"/>
  <c r="AM10" i="6" s="1"/>
  <c r="AI12" i="3"/>
  <c r="AI10" i="6" s="1"/>
  <c r="O12" i="3"/>
  <c r="O10" i="6" s="1"/>
  <c r="E12" i="3"/>
  <c r="E10" i="6" s="1"/>
  <c r="P12" i="3"/>
  <c r="P10" i="6" s="1"/>
  <c r="Z12" i="3"/>
  <c r="Z10" i="6" s="1"/>
  <c r="F12" i="3"/>
  <c r="F10" i="6" s="1"/>
  <c r="AF12" i="3"/>
  <c r="AF10" i="6" s="1"/>
  <c r="K12" i="3"/>
  <c r="K10" i="6" s="1"/>
  <c r="N12" i="3"/>
  <c r="N10" i="6" s="1"/>
  <c r="AK12" i="3"/>
  <c r="AK10" i="6" s="1"/>
  <c r="AJ12" i="3"/>
  <c r="AJ10" i="6" s="1"/>
  <c r="AE12" i="3"/>
  <c r="AE10" i="6" s="1"/>
  <c r="L12" i="3"/>
  <c r="L10" i="6" s="1"/>
  <c r="U12" i="3"/>
  <c r="U10" i="6" s="1"/>
  <c r="J12" i="3"/>
  <c r="J10" i="6" s="1"/>
  <c r="Q12" i="3"/>
  <c r="Q10" i="6" s="1"/>
  <c r="D12" i="3"/>
  <c r="D10" i="6" s="1"/>
  <c r="M12" i="3"/>
  <c r="M10" i="6" s="1"/>
  <c r="X12" i="3"/>
  <c r="X10" i="6" s="1"/>
  <c r="AX12" i="3"/>
  <c r="AX10" i="6" s="1"/>
  <c r="AY12" i="3"/>
  <c r="AY10" i="6" s="1"/>
  <c r="AW12" i="3"/>
  <c r="AW10" i="6" s="1"/>
  <c r="AT12" i="3"/>
  <c r="AT10" i="6" s="1"/>
  <c r="AP12" i="3"/>
  <c r="AP10" i="6" s="1"/>
  <c r="AO12" i="3"/>
  <c r="AO10" i="6" s="1"/>
  <c r="AL12" i="3"/>
  <c r="AL10" i="6" s="1"/>
  <c r="AH12" i="3"/>
  <c r="AH10" i="6" s="1"/>
  <c r="AG12" i="3"/>
  <c r="AG10" i="6" s="1"/>
  <c r="AZ12" i="3"/>
  <c r="AZ10" i="6" s="1"/>
  <c r="R12" i="3"/>
  <c r="R10" i="6" s="1"/>
  <c r="AB12" i="3"/>
  <c r="AB10" i="6" s="1"/>
  <c r="S12" i="3"/>
  <c r="S10" i="6" s="1"/>
  <c r="Y12" i="3"/>
  <c r="Y10" i="6" s="1"/>
  <c r="T12" i="3"/>
  <c r="T10" i="6" s="1"/>
  <c r="G12" i="3"/>
  <c r="G10" i="6" s="1"/>
  <c r="AC12" i="3"/>
  <c r="AC10" i="6" s="1"/>
  <c r="AD12" i="3"/>
  <c r="AD10" i="6" s="1"/>
  <c r="I12" i="3"/>
  <c r="I10" i="6" s="1"/>
  <c r="C119" i="13"/>
  <c r="C123" i="13" s="1"/>
  <c r="AT20" i="7"/>
  <c r="AT41" i="7" s="1"/>
  <c r="AY20" i="7"/>
  <c r="AY41" i="7" s="1"/>
  <c r="AO20" i="7"/>
  <c r="AO41" i="7" s="1"/>
  <c r="AN20" i="7"/>
  <c r="AN41" i="7" s="1"/>
  <c r="AG20" i="7"/>
  <c r="AG41" i="7" s="1"/>
  <c r="AR20" i="7"/>
  <c r="AR41" i="7" s="1"/>
  <c r="AW20" i="7"/>
  <c r="AW41" i="7" s="1"/>
  <c r="Y20" i="7"/>
  <c r="Y41" i="7" s="1"/>
  <c r="I20" i="7"/>
  <c r="I41" i="7" s="1"/>
  <c r="AE20" i="7"/>
  <c r="AE41" i="7" s="1"/>
  <c r="H20" i="7"/>
  <c r="H41" i="7" s="1"/>
  <c r="AD20" i="7"/>
  <c r="AD41" i="7" s="1"/>
  <c r="J20" i="7"/>
  <c r="J41" i="7" s="1"/>
  <c r="N20" i="7"/>
  <c r="N41" i="7" s="1"/>
  <c r="D20" i="7"/>
  <c r="D41" i="7" s="1"/>
  <c r="P20" i="7"/>
  <c r="P41" i="7" s="1"/>
  <c r="V20" i="7"/>
  <c r="V41" i="7" s="1"/>
  <c r="K20" i="7"/>
  <c r="K41" i="7" s="1"/>
  <c r="F20" i="7"/>
  <c r="F41" i="7" s="1"/>
  <c r="S20" i="7"/>
  <c r="S41" i="7" s="1"/>
  <c r="W20" i="7"/>
  <c r="W41" i="7" s="1"/>
  <c r="AL20" i="7"/>
  <c r="AL41" i="7" s="1"/>
  <c r="AK20" i="7"/>
  <c r="AK41" i="7" s="1"/>
  <c r="AI20" i="7"/>
  <c r="AI41" i="7" s="1"/>
  <c r="AH20" i="7"/>
  <c r="AH41" i="7" s="1"/>
  <c r="G20" i="7"/>
  <c r="G41" i="7" s="1"/>
  <c r="T20" i="7"/>
  <c r="T41" i="7" s="1"/>
  <c r="U20" i="7"/>
  <c r="U41" i="7" s="1"/>
  <c r="AZ20" i="7"/>
  <c r="AZ41" i="7" s="1"/>
  <c r="AQ20" i="7"/>
  <c r="AQ41" i="7" s="1"/>
  <c r="L20" i="7"/>
  <c r="L41" i="7" s="1"/>
  <c r="O20" i="7"/>
  <c r="O41" i="7" s="1"/>
  <c r="AA20" i="7"/>
  <c r="AA41" i="7" s="1"/>
  <c r="Q20" i="7"/>
  <c r="Q41" i="7" s="1"/>
  <c r="AB20" i="7"/>
  <c r="AB41" i="7" s="1"/>
  <c r="R20" i="7"/>
  <c r="R41" i="7" s="1"/>
  <c r="X20" i="7"/>
  <c r="X41" i="7" s="1"/>
  <c r="AX20" i="7"/>
  <c r="AX41" i="7" s="1"/>
  <c r="AV20" i="7"/>
  <c r="AV41" i="7" s="1"/>
  <c r="AU20" i="7"/>
  <c r="AU41" i="7" s="1"/>
  <c r="AS20" i="7"/>
  <c r="AS41" i="7" s="1"/>
  <c r="AP20" i="7"/>
  <c r="AP41" i="7" s="1"/>
  <c r="AM20" i="7"/>
  <c r="AM41" i="7" s="1"/>
  <c r="AJ20" i="7"/>
  <c r="AJ41" i="7" s="1"/>
  <c r="E20" i="7"/>
  <c r="E41" i="7" s="1"/>
  <c r="M20" i="7"/>
  <c r="M41" i="7" s="1"/>
  <c r="AC20" i="7"/>
  <c r="AC41" i="7" s="1"/>
  <c r="AF20" i="7"/>
  <c r="AF41" i="7" s="1"/>
  <c r="Z20" i="7"/>
  <c r="Z41" i="7" s="1"/>
  <c r="C27" i="21"/>
  <c r="D112" i="13" s="1"/>
  <c r="D23" i="21"/>
  <c r="D110" i="13" l="1"/>
  <c r="D120" i="13" s="1"/>
  <c r="D119" i="13" s="1"/>
  <c r="D123" i="13" s="1"/>
  <c r="D13" i="6" s="1"/>
  <c r="C43" i="7"/>
  <c r="C13" i="6"/>
  <c r="C132" i="13"/>
  <c r="D27" i="21"/>
  <c r="E112" i="13" s="1"/>
  <c r="E110" i="13" s="1"/>
  <c r="E23" i="21"/>
  <c r="C131" i="13" l="1"/>
  <c r="C4" i="11" s="1"/>
  <c r="C24" i="6"/>
  <c r="E120" i="13"/>
  <c r="E119" i="13" s="1"/>
  <c r="E123" i="13" s="1"/>
  <c r="D132" i="13"/>
  <c r="D131" i="13" s="1"/>
  <c r="D4" i="11" s="1"/>
  <c r="AE24" i="6"/>
  <c r="AI24" i="6"/>
  <c r="AG24" i="6"/>
  <c r="AF24" i="6"/>
  <c r="AA24" i="6"/>
  <c r="AB24" i="6"/>
  <c r="AH24" i="6"/>
  <c r="AC24" i="6"/>
  <c r="AD24" i="6"/>
  <c r="AJ24" i="6"/>
  <c r="AK24" i="6"/>
  <c r="AS24" i="6"/>
  <c r="X24" i="6"/>
  <c r="AO24" i="6"/>
  <c r="W24" i="6"/>
  <c r="AU24" i="6"/>
  <c r="AM24" i="6"/>
  <c r="AZ24" i="6"/>
  <c r="Z24" i="6"/>
  <c r="AW24" i="6"/>
  <c r="AY24" i="6"/>
  <c r="AL24" i="6"/>
  <c r="Y24" i="6"/>
  <c r="AV24" i="6"/>
  <c r="AR24" i="6"/>
  <c r="AN24" i="6"/>
  <c r="AX24" i="6"/>
  <c r="AP24" i="6"/>
  <c r="AQ24" i="6"/>
  <c r="D24" i="6"/>
  <c r="AT24" i="6"/>
  <c r="E27" i="21"/>
  <c r="F112" i="13" s="1"/>
  <c r="F110" i="13" s="1"/>
  <c r="F23" i="21"/>
  <c r="E13" i="6" l="1"/>
  <c r="E24" i="6" s="1"/>
  <c r="E132" i="13"/>
  <c r="E131" i="13" s="1"/>
  <c r="E4" i="11" s="1"/>
  <c r="F120" i="13"/>
  <c r="F119" i="13" s="1"/>
  <c r="F123" i="13" s="1"/>
  <c r="F13" i="6" s="1"/>
  <c r="F24" i="6" s="1"/>
  <c r="F27" i="21"/>
  <c r="G112" i="13" s="1"/>
  <c r="G110" i="13" s="1"/>
  <c r="G23" i="21"/>
  <c r="G120" i="13" l="1"/>
  <c r="G119" i="13" s="1"/>
  <c r="G123" i="13" s="1"/>
  <c r="G13" i="6" s="1"/>
  <c r="G24" i="6" s="1"/>
  <c r="F132" i="13"/>
  <c r="F131" i="13" s="1"/>
  <c r="F4" i="11" s="1"/>
  <c r="G27" i="21"/>
  <c r="H112" i="13" s="1"/>
  <c r="H110" i="13" s="1"/>
  <c r="H23" i="21"/>
  <c r="G132" i="13" l="1"/>
  <c r="G131" i="13" s="1"/>
  <c r="G4" i="11" s="1"/>
  <c r="H120" i="13"/>
  <c r="H119" i="13" s="1"/>
  <c r="H123" i="13" s="1"/>
  <c r="H13" i="6" s="1"/>
  <c r="H24" i="6" s="1"/>
  <c r="H27" i="21"/>
  <c r="I112" i="13" s="1"/>
  <c r="I110" i="13" s="1"/>
  <c r="I23" i="21"/>
  <c r="I120" i="13" l="1"/>
  <c r="I119" i="13" s="1"/>
  <c r="I123" i="13" s="1"/>
  <c r="I13" i="6" s="1"/>
  <c r="I24" i="6" s="1"/>
  <c r="H132" i="13"/>
  <c r="H131" i="13" s="1"/>
  <c r="H4" i="11" s="1"/>
  <c r="I27" i="21"/>
  <c r="J112" i="13" s="1"/>
  <c r="J110" i="13" s="1"/>
  <c r="J23" i="21"/>
  <c r="J120" i="13" l="1"/>
  <c r="J119" i="13" s="1"/>
  <c r="J123" i="13" s="1"/>
  <c r="J13" i="6" s="1"/>
  <c r="J24" i="6" s="1"/>
  <c r="I132" i="13"/>
  <c r="I131" i="13" s="1"/>
  <c r="I4" i="11" s="1"/>
  <c r="J27" i="21"/>
  <c r="K112" i="13" s="1"/>
  <c r="K110" i="13" s="1"/>
  <c r="K23" i="21"/>
  <c r="J132" i="13" l="1"/>
  <c r="J131" i="13" s="1"/>
  <c r="J4" i="11" s="1"/>
  <c r="K120" i="13"/>
  <c r="K119" i="13" s="1"/>
  <c r="K123" i="13" s="1"/>
  <c r="K13" i="6" s="1"/>
  <c r="K24" i="6" s="1"/>
  <c r="K27" i="21"/>
  <c r="L112" i="13" s="1"/>
  <c r="L110" i="13" s="1"/>
  <c r="L23" i="21"/>
  <c r="K132" i="13" l="1"/>
  <c r="K131" i="13" s="1"/>
  <c r="K4" i="11" s="1"/>
  <c r="L120" i="13"/>
  <c r="L119" i="13" s="1"/>
  <c r="L123" i="13" s="1"/>
  <c r="L27" i="21"/>
  <c r="M112" i="13" s="1"/>
  <c r="M110" i="13" s="1"/>
  <c r="M23" i="21"/>
  <c r="L132" i="13" l="1"/>
  <c r="L131" i="13" s="1"/>
  <c r="L4" i="11" s="1"/>
  <c r="L13" i="6"/>
  <c r="L24" i="6" s="1"/>
  <c r="M120" i="13"/>
  <c r="M119" i="13" s="1"/>
  <c r="M123" i="13" s="1"/>
  <c r="M132" i="13" s="1"/>
  <c r="M131" i="13" s="1"/>
  <c r="M4" i="11" s="1"/>
  <c r="M27" i="21"/>
  <c r="N112" i="13" s="1"/>
  <c r="N110" i="13" s="1"/>
  <c r="N23" i="21"/>
  <c r="M13" i="6" l="1"/>
  <c r="M24" i="6" s="1"/>
  <c r="N120" i="13"/>
  <c r="N119" i="13" s="1"/>
  <c r="N123" i="13" s="1"/>
  <c r="N132" i="13" s="1"/>
  <c r="N131" i="13" s="1"/>
  <c r="N4" i="11" s="1"/>
  <c r="O23" i="21"/>
  <c r="N27" i="21"/>
  <c r="O112" i="13" s="1"/>
  <c r="O110" i="13" s="1"/>
  <c r="O120" i="13" l="1"/>
  <c r="O119" i="13" s="1"/>
  <c r="O123" i="13" s="1"/>
  <c r="O13" i="6" s="1"/>
  <c r="O24" i="6" s="1"/>
  <c r="N13" i="6"/>
  <c r="N24" i="6" s="1"/>
  <c r="O27" i="21"/>
  <c r="P112" i="13" s="1"/>
  <c r="P110" i="13" s="1"/>
  <c r="P23" i="21"/>
  <c r="P27" i="21" s="1"/>
  <c r="Q112" i="13" s="1"/>
  <c r="Q110" i="13" s="1"/>
  <c r="O132" i="13" l="1"/>
  <c r="O131" i="13" s="1"/>
  <c r="O4" i="11" s="1"/>
  <c r="Y120" i="13"/>
  <c r="Y119" i="13" s="1"/>
  <c r="Y123" i="13" s="1"/>
  <c r="AW120" i="13"/>
  <c r="AW119" i="13" s="1"/>
  <c r="AW123" i="13" s="1"/>
  <c r="AG120" i="13"/>
  <c r="AG119" i="13" s="1"/>
  <c r="AG123" i="13" s="1"/>
  <c r="T120" i="13"/>
  <c r="T119" i="13" s="1"/>
  <c r="T123" i="13" s="1"/>
  <c r="T13" i="6" s="1"/>
  <c r="T24" i="6" s="1"/>
  <c r="AF120" i="13"/>
  <c r="AF119" i="13" s="1"/>
  <c r="AF123" i="13" s="1"/>
  <c r="AO120" i="13"/>
  <c r="AO119" i="13" s="1"/>
  <c r="AO123" i="13" s="1"/>
  <c r="AN120" i="13"/>
  <c r="AN119" i="13" s="1"/>
  <c r="AN123" i="13" s="1"/>
  <c r="AY120" i="13"/>
  <c r="AY119" i="13" s="1"/>
  <c r="AY123" i="13" s="1"/>
  <c r="W120" i="13"/>
  <c r="W119" i="13" s="1"/>
  <c r="W123" i="13" s="1"/>
  <c r="AU120" i="13"/>
  <c r="AU119" i="13" s="1"/>
  <c r="AU123" i="13" s="1"/>
  <c r="AK120" i="13"/>
  <c r="AK119" i="13" s="1"/>
  <c r="AK123" i="13" s="1"/>
  <c r="AH120" i="13"/>
  <c r="AH119" i="13" s="1"/>
  <c r="AH123" i="13" s="1"/>
  <c r="AE120" i="13"/>
  <c r="AE119" i="13" s="1"/>
  <c r="AE123" i="13" s="1"/>
  <c r="AB120" i="13"/>
  <c r="AB119" i="13" s="1"/>
  <c r="AB123" i="13" s="1"/>
  <c r="AX120" i="13"/>
  <c r="AX119" i="13" s="1"/>
  <c r="AX123" i="13" s="1"/>
  <c r="R120" i="13"/>
  <c r="R119" i="13" s="1"/>
  <c r="R123" i="13" s="1"/>
  <c r="R13" i="6" s="1"/>
  <c r="R24" i="6" s="1"/>
  <c r="AT120" i="13"/>
  <c r="AT119" i="13" s="1"/>
  <c r="AT123" i="13" s="1"/>
  <c r="AR120" i="13"/>
  <c r="AR119" i="13" s="1"/>
  <c r="AR123" i="13" s="1"/>
  <c r="AZ120" i="13"/>
  <c r="AZ119" i="13" s="1"/>
  <c r="AZ123" i="13" s="1"/>
  <c r="AV120" i="13"/>
  <c r="AV119" i="13" s="1"/>
  <c r="AV123" i="13" s="1"/>
  <c r="AD120" i="13"/>
  <c r="AD119" i="13" s="1"/>
  <c r="AD123" i="13" s="1"/>
  <c r="S120" i="13"/>
  <c r="S119" i="13" s="1"/>
  <c r="S123" i="13" s="1"/>
  <c r="S13" i="6" s="1"/>
  <c r="S24" i="6" s="1"/>
  <c r="X120" i="13"/>
  <c r="X119" i="13" s="1"/>
  <c r="X123" i="13" s="1"/>
  <c r="AA120" i="13"/>
  <c r="AA119" i="13" s="1"/>
  <c r="AA123" i="13" s="1"/>
  <c r="Q120" i="13"/>
  <c r="Q119" i="13" s="1"/>
  <c r="Q123" i="13" s="1"/>
  <c r="Q13" i="6" s="1"/>
  <c r="Q24" i="6" s="1"/>
  <c r="AM120" i="13"/>
  <c r="AM119" i="13" s="1"/>
  <c r="AM123" i="13" s="1"/>
  <c r="AJ120" i="13"/>
  <c r="AJ119" i="13" s="1"/>
  <c r="AJ123" i="13" s="1"/>
  <c r="AC120" i="13"/>
  <c r="AC119" i="13" s="1"/>
  <c r="AC123" i="13" s="1"/>
  <c r="AQ120" i="13"/>
  <c r="AQ119" i="13" s="1"/>
  <c r="AQ123" i="13" s="1"/>
  <c r="U120" i="13"/>
  <c r="U119" i="13" s="1"/>
  <c r="U123" i="13" s="1"/>
  <c r="U13" i="6" s="1"/>
  <c r="U24" i="6" s="1"/>
  <c r="AS120" i="13"/>
  <c r="AS119" i="13" s="1"/>
  <c r="AS123" i="13" s="1"/>
  <c r="AP120" i="13"/>
  <c r="AP119" i="13" s="1"/>
  <c r="AP123" i="13" s="1"/>
  <c r="AL120" i="13"/>
  <c r="AL119" i="13" s="1"/>
  <c r="AL123" i="13" s="1"/>
  <c r="V120" i="13"/>
  <c r="V119" i="13" s="1"/>
  <c r="V123" i="13" s="1"/>
  <c r="V13" i="6" s="1"/>
  <c r="V24" i="6" s="1"/>
  <c r="Z120" i="13"/>
  <c r="Z119" i="13" s="1"/>
  <c r="Z123" i="13" s="1"/>
  <c r="AI120" i="13"/>
  <c r="AI119" i="13" s="1"/>
  <c r="AI123" i="13" s="1"/>
  <c r="P120" i="13"/>
  <c r="P119" i="13" s="1"/>
  <c r="P123" i="13" s="1"/>
  <c r="AU132" i="13" l="1"/>
  <c r="AU131" i="13" s="1"/>
  <c r="AU4" i="11" s="1"/>
  <c r="AA132" i="13"/>
  <c r="AA131" i="13" s="1"/>
  <c r="AA4" i="11" s="1"/>
  <c r="AY132" i="13"/>
  <c r="AY131" i="13" s="1"/>
  <c r="AY4" i="11" s="1"/>
  <c r="AO132" i="13"/>
  <c r="AO131" i="13" s="1"/>
  <c r="AO4" i="11" s="1"/>
  <c r="AW132" i="13"/>
  <c r="AW131" i="13" s="1"/>
  <c r="AW4" i="11" s="1"/>
  <c r="R132" i="13"/>
  <c r="R131" i="13" s="1"/>
  <c r="R4" i="11" s="1"/>
  <c r="U132" i="13"/>
  <c r="U131" i="13" s="1"/>
  <c r="U4" i="11" s="1"/>
  <c r="AE132" i="13"/>
  <c r="AE131" i="13" s="1"/>
  <c r="AE4" i="11" s="1"/>
  <c r="Q132" i="13"/>
  <c r="Q131" i="13" s="1"/>
  <c r="Q4" i="11" s="1"/>
  <c r="AJ132" i="13"/>
  <c r="AJ131" i="13" s="1"/>
  <c r="AJ4" i="11" s="1"/>
  <c r="T132" i="13"/>
  <c r="T131" i="13" s="1"/>
  <c r="T4" i="11" s="1"/>
  <c r="AT132" i="13"/>
  <c r="AT131" i="13" s="1"/>
  <c r="AT4" i="11" s="1"/>
  <c r="AM132" i="13"/>
  <c r="AM131" i="13" s="1"/>
  <c r="AM4" i="11" s="1"/>
  <c r="AD132" i="13"/>
  <c r="AD131" i="13" s="1"/>
  <c r="AD4" i="11" s="1"/>
  <c r="AF132" i="13"/>
  <c r="AF131" i="13" s="1"/>
  <c r="AF4" i="11" s="1"/>
  <c r="AS132" i="13"/>
  <c r="AS131" i="13" s="1"/>
  <c r="AS4" i="11" s="1"/>
  <c r="AZ132" i="13"/>
  <c r="AZ131" i="13" s="1"/>
  <c r="AZ4" i="11" s="1"/>
  <c r="Y132" i="13"/>
  <c r="Y131" i="13" s="1"/>
  <c r="Y4" i="11" s="1"/>
  <c r="AK132" i="13"/>
  <c r="AK131" i="13" s="1"/>
  <c r="AK4" i="11" s="1"/>
  <c r="P13" i="6"/>
  <c r="P24" i="6" s="1"/>
  <c r="C27" i="6" s="1"/>
  <c r="C15" i="6" s="1"/>
  <c r="C31" i="7" s="1"/>
  <c r="AI132" i="13"/>
  <c r="AI131" i="13" s="1"/>
  <c r="AI4" i="11" s="1"/>
  <c r="AC132" i="13"/>
  <c r="AC131" i="13" s="1"/>
  <c r="AC4" i="11" s="1"/>
  <c r="V132" i="13"/>
  <c r="V131" i="13" s="1"/>
  <c r="V4" i="11" s="1"/>
  <c r="AG132" i="13"/>
  <c r="AG131" i="13" s="1"/>
  <c r="AG4" i="11" s="1"/>
  <c r="AH132" i="13"/>
  <c r="AH131" i="13" s="1"/>
  <c r="AH4" i="11" s="1"/>
  <c r="AX132" i="13"/>
  <c r="AX131" i="13" s="1"/>
  <c r="AX4" i="11" s="1"/>
  <c r="W132" i="13"/>
  <c r="W131" i="13" s="1"/>
  <c r="W4" i="11" s="1"/>
  <c r="AB132" i="13"/>
  <c r="AB131" i="13" s="1"/>
  <c r="AB4" i="11" s="1"/>
  <c r="Z132" i="13"/>
  <c r="Z131" i="13" s="1"/>
  <c r="Z4" i="11" s="1"/>
  <c r="P132" i="13"/>
  <c r="P131" i="13" s="1"/>
  <c r="P4" i="11" s="1"/>
  <c r="AR132" i="13"/>
  <c r="AR131" i="13" s="1"/>
  <c r="AR4" i="11" s="1"/>
  <c r="AQ132" i="13"/>
  <c r="AQ131" i="13" s="1"/>
  <c r="AQ4" i="11" s="1"/>
  <c r="S132" i="13"/>
  <c r="S131" i="13" s="1"/>
  <c r="S4" i="11" s="1"/>
  <c r="AP132" i="13"/>
  <c r="AP131" i="13" s="1"/>
  <c r="AP4" i="11" s="1"/>
  <c r="AN132" i="13"/>
  <c r="AN131" i="13" s="1"/>
  <c r="AN4" i="11" s="1"/>
  <c r="X132" i="13"/>
  <c r="X131" i="13" s="1"/>
  <c r="X4" i="11" s="1"/>
  <c r="AL132" i="13"/>
  <c r="AL131" i="13" s="1"/>
  <c r="AL4" i="11" s="1"/>
  <c r="AV132" i="13"/>
  <c r="AV131" i="13" s="1"/>
  <c r="AV4" i="11" s="1"/>
  <c r="C18" i="11" l="1"/>
  <c r="C8" i="11" s="1"/>
  <c r="AF16" i="5" s="1"/>
  <c r="AF10" i="11" s="1"/>
  <c r="AF11" i="11" s="1"/>
  <c r="D15" i="5"/>
  <c r="H15" i="5"/>
  <c r="P15" i="5"/>
  <c r="T15" i="5"/>
  <c r="AB15" i="5"/>
  <c r="AF15" i="5"/>
  <c r="AJ15" i="5"/>
  <c r="AR15" i="5"/>
  <c r="AV15" i="5"/>
  <c r="AZ15" i="5"/>
  <c r="E15" i="5"/>
  <c r="I15" i="5"/>
  <c r="M15" i="5"/>
  <c r="Q15" i="5"/>
  <c r="U15" i="5"/>
  <c r="Y15" i="5"/>
  <c r="AC15" i="5"/>
  <c r="AC17" i="6" s="1"/>
  <c r="AG15" i="5"/>
  <c r="AK15" i="5"/>
  <c r="AO15" i="5"/>
  <c r="AS15" i="5"/>
  <c r="AW15" i="5"/>
  <c r="F15" i="5"/>
  <c r="J15" i="5"/>
  <c r="N15" i="5"/>
  <c r="R15" i="5"/>
  <c r="V15" i="5"/>
  <c r="Z15" i="5"/>
  <c r="AD15" i="5"/>
  <c r="AH15" i="5"/>
  <c r="AL15" i="5"/>
  <c r="AP15" i="5"/>
  <c r="AT15" i="5"/>
  <c r="AX15" i="5"/>
  <c r="K15" i="5"/>
  <c r="O15" i="5"/>
  <c r="S15" i="5"/>
  <c r="W15" i="5"/>
  <c r="AA15" i="5"/>
  <c r="AE15" i="5"/>
  <c r="AI15" i="5"/>
  <c r="AM15" i="5"/>
  <c r="AQ15" i="5"/>
  <c r="AU15" i="5"/>
  <c r="AY15" i="5"/>
  <c r="C32" i="7" l="1"/>
  <c r="K16" i="5"/>
  <c r="K10" i="11" s="1"/>
  <c r="K11" i="11" s="1"/>
  <c r="AZ16" i="5"/>
  <c r="AZ10" i="11" s="1"/>
  <c r="AZ11" i="11" s="1"/>
  <c r="O16" i="5"/>
  <c r="O10" i="11" s="1"/>
  <c r="O11" i="11" s="1"/>
  <c r="V16" i="5"/>
  <c r="V10" i="11" s="1"/>
  <c r="V11" i="11" s="1"/>
  <c r="C4" i="13"/>
  <c r="H16" i="5"/>
  <c r="H10" i="11" s="1"/>
  <c r="H11" i="11" s="1"/>
  <c r="AI16" i="5"/>
  <c r="AI10" i="11" s="1"/>
  <c r="AI11" i="11" s="1"/>
  <c r="U16" i="5"/>
  <c r="U10" i="11" s="1"/>
  <c r="U11" i="11" s="1"/>
  <c r="E16" i="5"/>
  <c r="E10" i="11" s="1"/>
  <c r="E11" i="11" s="1"/>
  <c r="AA16" i="5"/>
  <c r="AA10" i="11" s="1"/>
  <c r="AA11" i="11" s="1"/>
  <c r="AO16" i="5"/>
  <c r="AO10" i="11" s="1"/>
  <c r="AO11" i="11" s="1"/>
  <c r="X16" i="5"/>
  <c r="X10" i="11" s="1"/>
  <c r="X11" i="11" s="1"/>
  <c r="AW16" i="5"/>
  <c r="AW10" i="11" s="1"/>
  <c r="AW11" i="11" s="1"/>
  <c r="J16" i="5"/>
  <c r="J10" i="11" s="1"/>
  <c r="J11" i="11" s="1"/>
  <c r="M16" i="5"/>
  <c r="M10" i="11" s="1"/>
  <c r="M11" i="11" s="1"/>
  <c r="AQ16" i="5"/>
  <c r="AQ10" i="11" s="1"/>
  <c r="AQ11" i="11" s="1"/>
  <c r="AV16" i="5"/>
  <c r="AV10" i="11" s="1"/>
  <c r="AV11" i="11" s="1"/>
  <c r="S16" i="5"/>
  <c r="S10" i="11" s="1"/>
  <c r="S11" i="11" s="1"/>
  <c r="Z16" i="5"/>
  <c r="Z10" i="11" s="1"/>
  <c r="Z11" i="11" s="1"/>
  <c r="AN16" i="5"/>
  <c r="AN10" i="11" s="1"/>
  <c r="AN11" i="11" s="1"/>
  <c r="AC16" i="5"/>
  <c r="AC10" i="11" s="1"/>
  <c r="AC11" i="11" s="1"/>
  <c r="AR16" i="5"/>
  <c r="AR10" i="11" s="1"/>
  <c r="AR11" i="11" s="1"/>
  <c r="AU16" i="5"/>
  <c r="AU10" i="11" s="1"/>
  <c r="AU11" i="11" s="1"/>
  <c r="C22" i="7"/>
  <c r="AU23" i="7" s="1"/>
  <c r="AU25" i="7" s="1"/>
  <c r="AB16" i="5"/>
  <c r="AB10" i="11" s="1"/>
  <c r="AB11" i="11" s="1"/>
  <c r="AP16" i="5"/>
  <c r="AP10" i="11" s="1"/>
  <c r="AP11" i="11" s="1"/>
  <c r="D16" i="5"/>
  <c r="D10" i="11" s="1"/>
  <c r="D11" i="11" s="1"/>
  <c r="C16" i="5"/>
  <c r="C10" i="11" s="1"/>
  <c r="C11" i="11" s="1"/>
  <c r="AT16" i="5"/>
  <c r="AT10" i="11" s="1"/>
  <c r="AT11" i="11" s="1"/>
  <c r="AL16" i="5"/>
  <c r="AL10" i="11" s="1"/>
  <c r="AL11" i="11" s="1"/>
  <c r="AY16" i="5"/>
  <c r="AY10" i="11" s="1"/>
  <c r="AY11" i="11" s="1"/>
  <c r="AG16" i="5"/>
  <c r="AG10" i="11" s="1"/>
  <c r="AG11" i="11" s="1"/>
  <c r="T16" i="5"/>
  <c r="T10" i="11" s="1"/>
  <c r="T11" i="11" s="1"/>
  <c r="F16" i="5"/>
  <c r="F10" i="11" s="1"/>
  <c r="F11" i="11" s="1"/>
  <c r="AE16" i="5"/>
  <c r="AE10" i="11" s="1"/>
  <c r="AE11" i="11" s="1"/>
  <c r="AM16" i="5"/>
  <c r="AM10" i="11" s="1"/>
  <c r="AM11" i="11" s="1"/>
  <c r="W16" i="5"/>
  <c r="W10" i="11" s="1"/>
  <c r="W11" i="11" s="1"/>
  <c r="AD16" i="5"/>
  <c r="AD10" i="11" s="1"/>
  <c r="AD11" i="11" s="1"/>
  <c r="Y16" i="5"/>
  <c r="Y10" i="11" s="1"/>
  <c r="Y11" i="11" s="1"/>
  <c r="G16" i="5"/>
  <c r="G10" i="11" s="1"/>
  <c r="G11" i="11" s="1"/>
  <c r="AJ16" i="5"/>
  <c r="AJ10" i="11" s="1"/>
  <c r="AJ11" i="11" s="1"/>
  <c r="N16" i="5"/>
  <c r="N10" i="11" s="1"/>
  <c r="N11" i="11" s="1"/>
  <c r="AK16" i="5"/>
  <c r="AK10" i="11" s="1"/>
  <c r="AK11" i="11" s="1"/>
  <c r="AX16" i="5"/>
  <c r="AX10" i="11" s="1"/>
  <c r="AX11" i="11" s="1"/>
  <c r="L16" i="5"/>
  <c r="L10" i="11" s="1"/>
  <c r="L11" i="11" s="1"/>
  <c r="P16" i="5"/>
  <c r="P10" i="11" s="1"/>
  <c r="P11" i="11" s="1"/>
  <c r="Q16" i="5"/>
  <c r="Q10" i="11" s="1"/>
  <c r="Q11" i="11" s="1"/>
  <c r="I16" i="5"/>
  <c r="I10" i="11" s="1"/>
  <c r="I11" i="11" s="1"/>
  <c r="AS16" i="5"/>
  <c r="AS10" i="11" s="1"/>
  <c r="AS11" i="11" s="1"/>
  <c r="R16" i="5"/>
  <c r="R10" i="11" s="1"/>
  <c r="R11" i="11" s="1"/>
  <c r="AH16" i="5"/>
  <c r="AH10" i="11" s="1"/>
  <c r="AH11" i="11" s="1"/>
  <c r="AN15" i="5"/>
  <c r="AN17" i="6" s="1"/>
  <c r="X15" i="5"/>
  <c r="X17" i="6" s="1"/>
  <c r="C15" i="5"/>
  <c r="G15" i="5"/>
  <c r="G17" i="6" s="1"/>
  <c r="L15" i="5"/>
  <c r="L17" i="6" s="1"/>
  <c r="E18" i="5"/>
  <c r="E11" i="13" s="1"/>
  <c r="C18" i="5"/>
  <c r="AW17" i="6"/>
  <c r="F17" i="6"/>
  <c r="S17" i="6"/>
  <c r="D17" i="6"/>
  <c r="AR17" i="6"/>
  <c r="Y17" i="6"/>
  <c r="AI17" i="6"/>
  <c r="AV17" i="6"/>
  <c r="AD17" i="6"/>
  <c r="AY17" i="6"/>
  <c r="K17" i="6"/>
  <c r="AJ17" i="6"/>
  <c r="AS17" i="6"/>
  <c r="AA17" i="6"/>
  <c r="O17" i="6"/>
  <c r="Q17" i="6"/>
  <c r="M17" i="6"/>
  <c r="AZ17" i="6"/>
  <c r="U17" i="6"/>
  <c r="AK17" i="6"/>
  <c r="AQ17" i="6"/>
  <c r="R17" i="6"/>
  <c r="W17" i="6"/>
  <c r="AL17" i="6"/>
  <c r="AH17" i="6"/>
  <c r="AE17" i="6"/>
  <c r="V17" i="6"/>
  <c r="H17" i="6"/>
  <c r="J17" i="6"/>
  <c r="I17" i="6"/>
  <c r="P17" i="6"/>
  <c r="AF17" i="6"/>
  <c r="AT17" i="6"/>
  <c r="AU17" i="6"/>
  <c r="AP17" i="6"/>
  <c r="AM17" i="6"/>
  <c r="AX17" i="6"/>
  <c r="T17" i="6"/>
  <c r="N17" i="6"/>
  <c r="AB17" i="6"/>
  <c r="AG17" i="6"/>
  <c r="E17" i="6"/>
  <c r="Z17" i="6"/>
  <c r="AO17" i="6"/>
  <c r="W18" i="5"/>
  <c r="W11" i="6" s="1"/>
  <c r="AK18" i="5"/>
  <c r="AF18" i="5"/>
  <c r="AF11" i="6" s="1"/>
  <c r="AX18" i="5"/>
  <c r="AR18" i="5"/>
  <c r="S18" i="5"/>
  <c r="S11" i="6" s="1"/>
  <c r="AM18" i="5"/>
  <c r="AM11" i="6" s="1"/>
  <c r="Q18" i="5"/>
  <c r="Q11" i="6" s="1"/>
  <c r="AO18" i="5"/>
  <c r="AO11" i="13" s="1"/>
  <c r="Z18" i="5"/>
  <c r="Z11" i="6" s="1"/>
  <c r="D18" i="5"/>
  <c r="T18" i="5"/>
  <c r="AZ18" i="5"/>
  <c r="AZ11" i="6" s="1"/>
  <c r="J18" i="5"/>
  <c r="J11" i="6" s="1"/>
  <c r="AL18" i="5"/>
  <c r="AL11" i="6" s="1"/>
  <c r="AE18" i="5"/>
  <c r="AE11" i="6" s="1"/>
  <c r="G18" i="5"/>
  <c r="AY18" i="5"/>
  <c r="AY11" i="6" s="1"/>
  <c r="H18" i="5"/>
  <c r="H11" i="6" s="1"/>
  <c r="R18" i="5"/>
  <c r="R11" i="6" s="1"/>
  <c r="Y18" i="5"/>
  <c r="Y11" i="6" s="1"/>
  <c r="P18" i="5"/>
  <c r="P11" i="6" s="1"/>
  <c r="F18" i="5"/>
  <c r="F11" i="6" s="1"/>
  <c r="AT18" i="5"/>
  <c r="X18" i="5"/>
  <c r="X11" i="6" s="1"/>
  <c r="AC18" i="5"/>
  <c r="AC11" i="6" s="1"/>
  <c r="AC18" i="6" s="1"/>
  <c r="AQ18" i="5"/>
  <c r="AQ11" i="6" s="1"/>
  <c r="U18" i="5"/>
  <c r="U11" i="6" s="1"/>
  <c r="AV18" i="5"/>
  <c r="AV11" i="6" s="1"/>
  <c r="AG18" i="5"/>
  <c r="AG11" i="6" s="1"/>
  <c r="K18" i="5"/>
  <c r="K11" i="6" s="1"/>
  <c r="AA18" i="5"/>
  <c r="AA11" i="6" s="1"/>
  <c r="AP18" i="5"/>
  <c r="AP11" i="6" s="1"/>
  <c r="AN18" i="5"/>
  <c r="AH18" i="5"/>
  <c r="AI18" i="5"/>
  <c r="AI11" i="6" s="1"/>
  <c r="N18" i="5"/>
  <c r="N11" i="6" s="1"/>
  <c r="I18" i="5"/>
  <c r="AJ18" i="5"/>
  <c r="AJ11" i="6" s="1"/>
  <c r="AU18" i="5"/>
  <c r="AU11" i="6" s="1"/>
  <c r="AS18" i="5"/>
  <c r="AS11" i="6" s="1"/>
  <c r="AD18" i="5"/>
  <c r="AD11" i="6" s="1"/>
  <c r="M18" i="5"/>
  <c r="M11" i="6" s="1"/>
  <c r="L18" i="5"/>
  <c r="V18" i="5"/>
  <c r="AW18" i="5"/>
  <c r="O18" i="5"/>
  <c r="O11" i="6" s="1"/>
  <c r="AB18" i="5"/>
  <c r="C17" i="6" l="1"/>
  <c r="C11" i="13"/>
  <c r="AW23" i="7"/>
  <c r="AW25" i="7" s="1"/>
  <c r="V11" i="13"/>
  <c r="AW11" i="13"/>
  <c r="T34" i="7"/>
  <c r="C5" i="13"/>
  <c r="U23" i="7"/>
  <c r="U25" i="7" s="1"/>
  <c r="AV23" i="7"/>
  <c r="AV25" i="7" s="1"/>
  <c r="X23" i="7"/>
  <c r="X25" i="7" s="1"/>
  <c r="AX23" i="7"/>
  <c r="AX25" i="7" s="1"/>
  <c r="AM23" i="7"/>
  <c r="AM25" i="7" s="1"/>
  <c r="AB11" i="13"/>
  <c r="AR11" i="13"/>
  <c r="D23" i="7"/>
  <c r="D25" i="7" s="1"/>
  <c r="H23" i="7"/>
  <c r="H25" i="7" s="1"/>
  <c r="R23" i="7"/>
  <c r="R25" i="7" s="1"/>
  <c r="AO23" i="7"/>
  <c r="AO25" i="7" s="1"/>
  <c r="AG23" i="7"/>
  <c r="AG25" i="7" s="1"/>
  <c r="AA23" i="7"/>
  <c r="AA25" i="7" s="1"/>
  <c r="O23" i="7"/>
  <c r="O25" i="7" s="1"/>
  <c r="AJ23" i="7"/>
  <c r="AJ25" i="7" s="1"/>
  <c r="N23" i="7"/>
  <c r="N25" i="7" s="1"/>
  <c r="AP23" i="7"/>
  <c r="AP25" i="7" s="1"/>
  <c r="P23" i="7"/>
  <c r="P25" i="7" s="1"/>
  <c r="AH23" i="7"/>
  <c r="AH25" i="7" s="1"/>
  <c r="AQ23" i="7"/>
  <c r="AQ25" i="7" s="1"/>
  <c r="V23" i="7"/>
  <c r="V25" i="7" s="1"/>
  <c r="C23" i="7"/>
  <c r="C25" i="7" s="1"/>
  <c r="AB23" i="7"/>
  <c r="AB25" i="7" s="1"/>
  <c r="J23" i="7"/>
  <c r="J25" i="7" s="1"/>
  <c r="AE23" i="7"/>
  <c r="AE25" i="7" s="1"/>
  <c r="E23" i="7"/>
  <c r="E25" i="7" s="1"/>
  <c r="AY23" i="7"/>
  <c r="AY25" i="7" s="1"/>
  <c r="W23" i="7"/>
  <c r="W25" i="7" s="1"/>
  <c r="AZ23" i="7"/>
  <c r="AZ25" i="7" s="1"/>
  <c r="AT23" i="7"/>
  <c r="AT25" i="7" s="1"/>
  <c r="K23" i="7"/>
  <c r="K25" i="7" s="1"/>
  <c r="AD23" i="7"/>
  <c r="AD25" i="7" s="1"/>
  <c r="AK23" i="7"/>
  <c r="AK25" i="7" s="1"/>
  <c r="AL23" i="7"/>
  <c r="AL25" i="7" s="1"/>
  <c r="I23" i="7"/>
  <c r="I25" i="7" s="1"/>
  <c r="AC23" i="7"/>
  <c r="AC25" i="7" s="1"/>
  <c r="M23" i="7"/>
  <c r="M25" i="7" s="1"/>
  <c r="L23" i="7"/>
  <c r="L25" i="7" s="1"/>
  <c r="AN23" i="7"/>
  <c r="AN25" i="7" s="1"/>
  <c r="T23" i="7"/>
  <c r="T25" i="7" s="1"/>
  <c r="AR23" i="7"/>
  <c r="AR25" i="7" s="1"/>
  <c r="S23" i="7"/>
  <c r="S25" i="7" s="1"/>
  <c r="AS23" i="7"/>
  <c r="AS25" i="7" s="1"/>
  <c r="F23" i="7"/>
  <c r="F25" i="7" s="1"/>
  <c r="AI23" i="7"/>
  <c r="AI25" i="7" s="1"/>
  <c r="G23" i="7"/>
  <c r="G25" i="7" s="1"/>
  <c r="AH11" i="13"/>
  <c r="D11" i="13"/>
  <c r="Q23" i="7"/>
  <c r="Q25" i="7" s="1"/>
  <c r="Y23" i="7"/>
  <c r="Y25" i="7" s="1"/>
  <c r="AF23" i="7"/>
  <c r="AF25" i="7" s="1"/>
  <c r="Z23" i="7"/>
  <c r="Z25" i="7" s="1"/>
  <c r="AX11" i="13"/>
  <c r="I11" i="13"/>
  <c r="C13" i="11"/>
  <c r="L11" i="13"/>
  <c r="AT11" i="13"/>
  <c r="T11" i="13"/>
  <c r="AK11" i="13"/>
  <c r="AN11" i="13"/>
  <c r="E11" i="6"/>
  <c r="E18" i="6" s="1"/>
  <c r="G11" i="13"/>
  <c r="AJ18" i="6"/>
  <c r="AR11" i="6"/>
  <c r="AR18" i="6" s="1"/>
  <c r="AG18" i="6"/>
  <c r="AE18" i="6"/>
  <c r="K18" i="6"/>
  <c r="AU18" i="6"/>
  <c r="S18" i="6"/>
  <c r="X18" i="6"/>
  <c r="AY18" i="6"/>
  <c r="J18" i="6"/>
  <c r="AI18" i="6"/>
  <c r="AA18" i="6"/>
  <c r="AZ18" i="6"/>
  <c r="R18" i="6"/>
  <c r="O18" i="6"/>
  <c r="U18" i="6"/>
  <c r="AP18" i="6"/>
  <c r="AV18" i="6"/>
  <c r="P18" i="6"/>
  <c r="Z18" i="6"/>
  <c r="Y18" i="6"/>
  <c r="M18" i="6"/>
  <c r="AD18" i="6"/>
  <c r="AQ18" i="6"/>
  <c r="W18" i="6"/>
  <c r="C11" i="6"/>
  <c r="AS18" i="6"/>
  <c r="N18" i="6"/>
  <c r="F18" i="6"/>
  <c r="H18" i="6"/>
  <c r="AL18" i="6"/>
  <c r="AM18" i="6"/>
  <c r="AF18" i="6"/>
  <c r="Q18" i="6"/>
  <c r="AG11" i="13"/>
  <c r="J11" i="13"/>
  <c r="X11" i="13"/>
  <c r="R11" i="13"/>
  <c r="AZ11" i="13"/>
  <c r="AA11" i="13"/>
  <c r="AM11" i="13"/>
  <c r="AF11" i="13"/>
  <c r="H11" i="13"/>
  <c r="AQ11" i="13"/>
  <c r="M11" i="13"/>
  <c r="AS11" i="13"/>
  <c r="AY11" i="13"/>
  <c r="AI11" i="13"/>
  <c r="S11" i="13"/>
  <c r="Z11" i="13"/>
  <c r="N11" i="13"/>
  <c r="AP11" i="13"/>
  <c r="P11" i="13"/>
  <c r="AL11" i="13"/>
  <c r="Q11" i="13"/>
  <c r="AJ11" i="13"/>
  <c r="AD11" i="13"/>
  <c r="Y11" i="13"/>
  <c r="F11" i="13"/>
  <c r="AC11" i="13"/>
  <c r="AU11" i="13"/>
  <c r="AE11" i="13"/>
  <c r="W11" i="13"/>
  <c r="U11" i="13"/>
  <c r="O11" i="13"/>
  <c r="K11" i="13"/>
  <c r="AV11" i="13"/>
  <c r="AK11" i="6"/>
  <c r="AK18" i="6" s="1"/>
  <c r="AX11" i="6"/>
  <c r="AX18" i="6" s="1"/>
  <c r="AO11" i="6"/>
  <c r="AO18" i="6" s="1"/>
  <c r="D11" i="6"/>
  <c r="D18" i="6" s="1"/>
  <c r="AU34" i="7"/>
  <c r="AU35" i="7" s="1"/>
  <c r="G11" i="6"/>
  <c r="G18" i="6" s="1"/>
  <c r="I11" i="6"/>
  <c r="I18" i="6" s="1"/>
  <c r="T11" i="6"/>
  <c r="T18" i="6" s="1"/>
  <c r="AD34" i="7"/>
  <c r="L11" i="6"/>
  <c r="L18" i="6" s="1"/>
  <c r="AF34" i="7"/>
  <c r="AX34" i="7"/>
  <c r="D34" i="7"/>
  <c r="I34" i="7"/>
  <c r="AZ34" i="7"/>
  <c r="R34" i="7"/>
  <c r="O34" i="7"/>
  <c r="AP34" i="7"/>
  <c r="AS34" i="7"/>
  <c r="AK34" i="7"/>
  <c r="S34" i="7"/>
  <c r="AT34" i="7"/>
  <c r="K34" i="7"/>
  <c r="AW34" i="7"/>
  <c r="AC34" i="7"/>
  <c r="AB11" i="6"/>
  <c r="AB18" i="6" s="1"/>
  <c r="AN34" i="7"/>
  <c r="C34" i="7"/>
  <c r="AV34" i="7"/>
  <c r="AG34" i="7"/>
  <c r="AY34" i="7"/>
  <c r="E34" i="7"/>
  <c r="F34" i="7"/>
  <c r="Z34" i="7"/>
  <c r="W34" i="7"/>
  <c r="U34" i="7"/>
  <c r="AR34" i="7"/>
  <c r="AA34" i="7"/>
  <c r="L34" i="7"/>
  <c r="X34" i="7"/>
  <c r="Y34" i="7"/>
  <c r="AJ34" i="7"/>
  <c r="AH34" i="7"/>
  <c r="AL34" i="7"/>
  <c r="AQ34" i="7"/>
  <c r="H34" i="7"/>
  <c r="P34" i="7"/>
  <c r="V34" i="7"/>
  <c r="AO34" i="7"/>
  <c r="M34" i="7"/>
  <c r="G34" i="7"/>
  <c r="AB34" i="7"/>
  <c r="AE34" i="7"/>
  <c r="N34" i="7"/>
  <c r="AM34" i="7"/>
  <c r="AI34" i="7"/>
  <c r="J34" i="7"/>
  <c r="Q34" i="7"/>
  <c r="AW11" i="6"/>
  <c r="AW18" i="6" s="1"/>
  <c r="AT11" i="6"/>
  <c r="AT18" i="6" s="1"/>
  <c r="AH11" i="6"/>
  <c r="AH18" i="6" s="1"/>
  <c r="V11" i="6"/>
  <c r="V18" i="6" s="1"/>
  <c r="AN11" i="6"/>
  <c r="AN18" i="6" s="1"/>
  <c r="C18" i="6" l="1"/>
  <c r="AO35" i="7"/>
  <c r="Z35" i="7"/>
  <c r="AG35" i="7"/>
  <c r="N35" i="7"/>
  <c r="AZ35" i="7"/>
  <c r="AL35" i="7"/>
  <c r="E35" i="7"/>
  <c r="C35" i="7"/>
  <c r="R35" i="7"/>
  <c r="M13" i="13"/>
  <c r="Q13" i="13"/>
  <c r="N13" i="13"/>
  <c r="R13" i="13"/>
  <c r="O13" i="13"/>
  <c r="S13" i="13"/>
  <c r="P13" i="13"/>
  <c r="T13" i="13"/>
  <c r="C13" i="13"/>
  <c r="J13" i="13"/>
  <c r="K13" i="13"/>
  <c r="L13" i="13"/>
  <c r="G13" i="13"/>
  <c r="D13" i="13"/>
  <c r="H13" i="13"/>
  <c r="E13" i="13"/>
  <c r="I13" i="13"/>
  <c r="U13" i="13"/>
  <c r="F13" i="13"/>
  <c r="AW35" i="7"/>
  <c r="J35" i="7"/>
  <c r="Q35" i="7"/>
  <c r="T35" i="7"/>
  <c r="C20" i="6"/>
  <c r="AM35" i="7"/>
  <c r="U35" i="7"/>
  <c r="AV35" i="7"/>
  <c r="S35" i="7"/>
  <c r="O35" i="7"/>
  <c r="X35" i="7"/>
  <c r="W35" i="7"/>
  <c r="AQ35" i="7"/>
  <c r="F35" i="7"/>
  <c r="AC35" i="7"/>
  <c r="D35" i="7"/>
  <c r="AD35" i="7"/>
  <c r="AX35" i="7"/>
  <c r="V35" i="7"/>
  <c r="AK35" i="7"/>
  <c r="M35" i="7"/>
  <c r="H35" i="7"/>
  <c r="AA35" i="7"/>
  <c r="AP35" i="7"/>
  <c r="AI35" i="7"/>
  <c r="AE35" i="7"/>
  <c r="AR35" i="7"/>
  <c r="G35" i="7"/>
  <c r="P35" i="7"/>
  <c r="AH35" i="7"/>
  <c r="L35" i="7"/>
  <c r="AY35" i="7"/>
  <c r="AN35" i="7"/>
  <c r="K35" i="7"/>
  <c r="AS35" i="7"/>
  <c r="AF35" i="7"/>
  <c r="AT35" i="7"/>
  <c r="AJ35" i="7"/>
  <c r="I35" i="7"/>
  <c r="AB35" i="7"/>
  <c r="Y35" i="7"/>
  <c r="AA13" i="13"/>
  <c r="AN13" i="13"/>
  <c r="AY13" i="13"/>
  <c r="AE13" i="13"/>
  <c r="X13" i="13"/>
  <c r="AF13" i="13"/>
  <c r="AQ13" i="13"/>
  <c r="W13" i="13"/>
  <c r="AJ13" i="13"/>
  <c r="AK13" i="13"/>
  <c r="AZ13" i="13"/>
  <c r="AC13" i="13"/>
  <c r="AG13" i="13"/>
  <c r="AB13" i="13"/>
  <c r="Y13" i="13"/>
  <c r="AH13" i="13"/>
  <c r="AV13" i="13"/>
  <c r="AI13" i="13"/>
  <c r="AS13" i="13"/>
  <c r="AM13" i="13"/>
  <c r="AW13" i="13"/>
  <c r="AR13" i="13"/>
  <c r="AU13" i="13"/>
  <c r="V13" i="13"/>
  <c r="AO13" i="13"/>
  <c r="AP13" i="13"/>
  <c r="AD13" i="13"/>
  <c r="Z13" i="13"/>
  <c r="AL13" i="13"/>
  <c r="AX13" i="13"/>
  <c r="AT13" i="13"/>
  <c r="C37" i="7" l="1"/>
</calcChain>
</file>

<file path=xl/sharedStrings.xml><?xml version="1.0" encoding="utf-8"?>
<sst xmlns="http://schemas.openxmlformats.org/spreadsheetml/2006/main" count="422" uniqueCount="198">
  <si>
    <t>Prime de risque</t>
  </si>
  <si>
    <t>Taux d'actualisation</t>
  </si>
  <si>
    <t>Inflation</t>
  </si>
  <si>
    <t>Taux d'actualisation réel</t>
  </si>
  <si>
    <t>Coefficient ex post</t>
  </si>
  <si>
    <t>Flux de prises raccordables construites</t>
  </si>
  <si>
    <t>Flux de prises programmées construites</t>
  </si>
  <si>
    <t>Année</t>
  </si>
  <si>
    <t>Prix / ligne programmée</t>
  </si>
  <si>
    <t>Prix / ligne raccordable</t>
  </si>
  <si>
    <t>Taux de pénétration</t>
  </si>
  <si>
    <t>Coefficient fin de période</t>
  </si>
  <si>
    <t>Flux de trésorerie</t>
  </si>
  <si>
    <t>Coefficient d'actualisation</t>
  </si>
  <si>
    <t>Hypothèses</t>
  </si>
  <si>
    <t>Clients</t>
  </si>
  <si>
    <t>Location à la ligne</t>
  </si>
  <si>
    <t>Charges de GC</t>
  </si>
  <si>
    <t>Tranches achetées / an</t>
  </si>
  <si>
    <t>Part de marché</t>
  </si>
  <si>
    <t>Somme prises raccordables</t>
  </si>
  <si>
    <t>Calculs</t>
  </si>
  <si>
    <t>Clients en location</t>
  </si>
  <si>
    <t>Coûts totaux</t>
  </si>
  <si>
    <t>Calcul location</t>
  </si>
  <si>
    <t>Revenu récurrent</t>
  </si>
  <si>
    <t>Calcul de la réserve</t>
  </si>
  <si>
    <t>Calcul du coût du GC</t>
  </si>
  <si>
    <t>Clients mi-année</t>
  </si>
  <si>
    <t>Flux de lignes programmées construites</t>
  </si>
  <si>
    <t>Flux de lignes raccordables construites</t>
  </si>
  <si>
    <t>Evolution du revenu moyen par utilisateur (en euros courants)</t>
  </si>
  <si>
    <t>Valeur sur la période</t>
  </si>
  <si>
    <t>Valeur cumulée en investissant à l'année n</t>
  </si>
  <si>
    <t>Facteurs pour calcul du prix</t>
  </si>
  <si>
    <t>Prix à l'année n</t>
  </si>
  <si>
    <t>Coefficient (en euros constants)</t>
  </si>
  <si>
    <t>Prime de risque (3 ans)</t>
  </si>
  <si>
    <t>Calcul du coefficient ex-post</t>
  </si>
  <si>
    <t>Calcul de la VAN</t>
  </si>
  <si>
    <t>Coefficient A</t>
  </si>
  <si>
    <t>Coefficient B</t>
  </si>
  <si>
    <t>Vérification VAN</t>
  </si>
  <si>
    <t>Récurrent de maintenance</t>
  </si>
  <si>
    <t>Récurrent de réserve</t>
  </si>
  <si>
    <t>Tarif de location</t>
  </si>
  <si>
    <t>Récurrent location du GC</t>
  </si>
  <si>
    <t>Coûts / clients</t>
  </si>
  <si>
    <t>Tarif GC annuel par accès aval PM</t>
  </si>
  <si>
    <t>Lignes programmées mi-année</t>
  </si>
  <si>
    <t>Somme lignes programmées</t>
  </si>
  <si>
    <t>Hypothèses à figer après la 1ère période</t>
  </si>
  <si>
    <t>Coût total du récurrent</t>
  </si>
  <si>
    <t>Coefficient C</t>
  </si>
  <si>
    <t>Coefficient D</t>
  </si>
  <si>
    <t xml:space="preserve">Calcul de la VAN </t>
  </si>
  <si>
    <t>Calcul des flux de trésorerie hors réserve</t>
  </si>
  <si>
    <t>Résultat</t>
  </si>
  <si>
    <t>Prix unitaire par prise programmé</t>
  </si>
  <si>
    <t>Prix unitaire par prise raccordable</t>
  </si>
  <si>
    <t>% du réseau total cofinancé</t>
  </si>
  <si>
    <t>Coûts de construction du réseau</t>
  </si>
  <si>
    <t>Coefficient de calcul du récurrent de cofinancement</t>
  </si>
  <si>
    <t>Coefficient de calcul du récurrent de location</t>
  </si>
  <si>
    <t>Revenus récurrent maintenance</t>
  </si>
  <si>
    <t>Revenus récurrent GC</t>
  </si>
  <si>
    <t>Revenus non récurrents lignes programmées</t>
  </si>
  <si>
    <t>Revenus non récurrents lignes raccordables</t>
  </si>
  <si>
    <t>Revenus récurrents réserve cofinancement</t>
  </si>
  <si>
    <t>Revenus récurrents cofinancement</t>
  </si>
  <si>
    <t>Revenus non récurrents</t>
  </si>
  <si>
    <t>Revenus récurrents maintenance</t>
  </si>
  <si>
    <t>Revenus récurrents GC</t>
  </si>
  <si>
    <t>Revenus récurrents totaux location</t>
  </si>
  <si>
    <t>Tarif de location + récurrents de maintenance et GC</t>
  </si>
  <si>
    <t>Coefficient de calcul du récurrent de maintenance</t>
  </si>
  <si>
    <t>Coefficient de calcul du récurrent de GC</t>
  </si>
  <si>
    <t>Récapitulatif des tarifs</t>
  </si>
  <si>
    <t>Investissements globaux</t>
  </si>
  <si>
    <t>Cellule liée / calcul</t>
  </si>
  <si>
    <t>Revenus récurrents location (hors maintenance et GC)</t>
  </si>
  <si>
    <t>Coefficient ex-post :</t>
  </si>
  <si>
    <t>Taux de pénétration (en %) :</t>
  </si>
  <si>
    <t>Prime de risque coefficient ex-post (en %) :</t>
  </si>
  <si>
    <t>Prix à la ligne raccordable (en €) :</t>
  </si>
  <si>
    <t>Investissements pour les lignes programmées (en €) :</t>
  </si>
  <si>
    <t>Investissements pour les lignes raccordables (en €) :</t>
  </si>
  <si>
    <t>Investissements totaux (en €) :</t>
  </si>
  <si>
    <t>Part de marché (en %) :</t>
  </si>
  <si>
    <t>Cofinancement du réseau (en %) :</t>
  </si>
  <si>
    <t>Cofinancement de l'opérateur (en %) :</t>
  </si>
  <si>
    <t>Inflation (en %) :</t>
  </si>
  <si>
    <t>Rappel des hypothèses</t>
  </si>
  <si>
    <t>Nombre de lignes programmées posées</t>
  </si>
  <si>
    <t>Coût ligne programmée</t>
  </si>
  <si>
    <t>Coût moyen ligne raccordable</t>
  </si>
  <si>
    <t>Coût moyen ligne programmée</t>
  </si>
  <si>
    <t>Nombre de lignes raccordables posées</t>
  </si>
  <si>
    <t>Scénario plat</t>
  </si>
  <si>
    <t>Scénario croissant</t>
  </si>
  <si>
    <t>Coût à ligne programmée (en €) :</t>
  </si>
  <si>
    <t>Coût à la ligne raccordable (en €) :</t>
  </si>
  <si>
    <t>Prix à la ligne programmée (en €) :</t>
  </si>
  <si>
    <t>Coût ligne programmée / an</t>
  </si>
  <si>
    <t>Coût ligne raccodable / an</t>
  </si>
  <si>
    <t>Coût ligne raccordable</t>
  </si>
  <si>
    <t>Variation annuelle moyenne du coût à la ligne</t>
  </si>
  <si>
    <t>Hypothèse sélectionnée</t>
  </si>
  <si>
    <t>Hypothèse à remplir</t>
  </si>
  <si>
    <t>Taux de rémunération du capital (TRC) :</t>
  </si>
  <si>
    <t>Revenu non récurrent</t>
  </si>
  <si>
    <t>Taux de rémunération du capital</t>
  </si>
  <si>
    <t>Lignes programmées (en flux unitaires) :</t>
  </si>
  <si>
    <t>Vitesse moyenne de déploiement  des lignes raccordables (en %) :</t>
  </si>
  <si>
    <t>Variation annuelle moyenne du coût à la ligne (en %) :</t>
  </si>
  <si>
    <t>Coefficient d'achat a posteriori</t>
  </si>
  <si>
    <t>Lignes raccordables (en flux unitaires) :</t>
  </si>
  <si>
    <t>Marge de l'opérateur tarif de cofinancement (en %) :</t>
  </si>
  <si>
    <t>Récurrent mensuel par ligne cofinancée active</t>
  </si>
  <si>
    <t>Horizon économique du projet (en années) :</t>
  </si>
  <si>
    <t xml:space="preserve">Cycles de réinvestissement </t>
  </si>
  <si>
    <t>En chroniques d'investissement</t>
  </si>
  <si>
    <t>Réinvestissements annuels (en %) :</t>
  </si>
  <si>
    <t>En chroniques de coûts</t>
  </si>
  <si>
    <t>Charges d'exploitation :</t>
  </si>
  <si>
    <t>Prime de risque cofinancement (en %) :</t>
  </si>
  <si>
    <t>Prime de risque location (en %)</t>
  </si>
  <si>
    <t>Flux de trésorerie globaux</t>
  </si>
  <si>
    <t>En fonction de l'horizon économique du projet :</t>
  </si>
  <si>
    <t xml:space="preserve">TRI par année (en %) </t>
  </si>
  <si>
    <t>Années de décalage</t>
  </si>
  <si>
    <t>Valeur plancher</t>
  </si>
  <si>
    <t>Valeur plancher du coefficient ex-post :</t>
  </si>
  <si>
    <t>Horizon économique du projet (en années)</t>
  </si>
  <si>
    <t>Scénario modélisé</t>
  </si>
  <si>
    <t>Modèle 2010</t>
  </si>
  <si>
    <t>Opérateur</t>
  </si>
  <si>
    <t>Modélisé</t>
  </si>
  <si>
    <t>Exemple 1</t>
  </si>
  <si>
    <t>Exemple 2</t>
  </si>
  <si>
    <t>Modélisées</t>
  </si>
  <si>
    <t>(Pour prix modélisé)</t>
  </si>
  <si>
    <t>Modelisé</t>
  </si>
  <si>
    <t>Régulation asymétrique 2014</t>
  </si>
  <si>
    <t>Exemple</t>
  </si>
  <si>
    <t>PLF 2014</t>
  </si>
  <si>
    <t>(Pour scénario modélisé croissant)</t>
  </si>
  <si>
    <t>Scénario modélisé plat</t>
  </si>
  <si>
    <t>Scénario modélisé croissant</t>
  </si>
  <si>
    <t>Scénario opérateur</t>
  </si>
  <si>
    <t>Prix pour une tranche de cofinancement de 5 %</t>
  </si>
  <si>
    <t>de l'année 1</t>
  </si>
  <si>
    <t>de l'année 2</t>
  </si>
  <si>
    <t>de l'année 3</t>
  </si>
  <si>
    <t>de l'année 4</t>
  </si>
  <si>
    <t>de l'année 5</t>
  </si>
  <si>
    <t>de l'année 6</t>
  </si>
  <si>
    <t>de l'année 7</t>
  </si>
  <si>
    <t>de l'année 8</t>
  </si>
  <si>
    <t>de l'année 9</t>
  </si>
  <si>
    <t>de l'année 10</t>
  </si>
  <si>
    <t>Prix de l'ensemble de lignes programmés :</t>
  </si>
  <si>
    <t>Prix de l'ensemble des lignes raccordables :</t>
  </si>
  <si>
    <t>de l'année 11</t>
  </si>
  <si>
    <t>de l'année 12</t>
  </si>
  <si>
    <t>de l'année 13</t>
  </si>
  <si>
    <t>de l'année 14</t>
  </si>
  <si>
    <t>de l'année 15</t>
  </si>
  <si>
    <t>Tranches cofinancées sur les lignes programmées :</t>
  </si>
  <si>
    <t>Tranches cofinancées sur les lignes raccordables :</t>
  </si>
  <si>
    <t>(Pour calcul du TRI)</t>
  </si>
  <si>
    <t>Durée des droits accordés</t>
  </si>
  <si>
    <t>Revenus non récurrents renouvellement</t>
  </si>
  <si>
    <t>Calcul des charges d'exploitation</t>
  </si>
  <si>
    <t>Prix à la ligne du renouvellement (en€)</t>
  </si>
  <si>
    <t xml:space="preserve">Renouvellement en € sur les lignes complètes : </t>
  </si>
  <si>
    <t>Client en cofinancement</t>
  </si>
  <si>
    <t>Taux de remplissage des tranches</t>
  </si>
  <si>
    <t>Charge d'exploitation</t>
  </si>
  <si>
    <t>Exemple rapide</t>
  </si>
  <si>
    <t>Exemple modéré</t>
  </si>
  <si>
    <t>Capacité de clients en cofinancement</t>
  </si>
  <si>
    <t>Capacité de prise en charge de clients</t>
  </si>
  <si>
    <t>Remplissage des tranches</t>
  </si>
  <si>
    <t>DSL (2002-2013)</t>
  </si>
  <si>
    <t>Calcul hypothèses déploiement</t>
  </si>
  <si>
    <t>Coût renouvellement</t>
  </si>
  <si>
    <t>Coût lignes programmées</t>
  </si>
  <si>
    <t>Coût lignes raccordables</t>
  </si>
  <si>
    <t>Test remplissage des tranches</t>
  </si>
  <si>
    <t>Charges d'exploitation (en % des CAPEX investis, pour scénario modélisé) :</t>
  </si>
  <si>
    <t>80 % DSL</t>
  </si>
  <si>
    <t>Scénario 1 %</t>
  </si>
  <si>
    <t>Scénario 2 %</t>
  </si>
  <si>
    <t>Estimation fibre opérateurs</t>
  </si>
  <si>
    <t>Coût du GC (en € par an par ligne programmée aval PM) :</t>
  </si>
  <si>
    <t xml:space="preserve">Pour rappel, les niveaux tarifaires et les différentes séries de paramètres ne sont fournis qu’à titre illustratif </t>
  </si>
  <si>
    <t>Légende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</si>
</sst>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_-* #,##0\ [$€-40C]_-;\-* #,##0\ [$€-40C]_-;_-* &quot;-&quot;??\ [$€-40C]_-;_-@_-"/>
    <numFmt numFmtId="168" formatCode="0.000"/>
    <numFmt numFmtId="169" formatCode="_-* #,##0\ &quot;€&quot;_-;\-* #,##0\ &quot;€&quot;_-;_-* &quot;-&quot;??\ &quot;€&quot;_-;_-@_-"/>
    <numFmt numFmtId="170" formatCode="_ * #,##0_ ;_ * \(#,##0\)_ ;_ * &quot;-&quot;??_ ;_ @_ "/>
    <numFmt numFmtId="171" formatCode="\+#,##0;\-#,##0"/>
    <numFmt numFmtId="172" formatCode="0.000000000"/>
    <numFmt numFmtId="173" formatCode="&quot;$&quot;#,##0.00_);\(&quot;$&quot;#,##0.00\)"/>
    <numFmt numFmtId="174" formatCode="#,##0.00\ &quot;FB&quot;;[Red]\-#,##0.00\ &quot;FB&quot;"/>
    <numFmt numFmtId="175" formatCode="#,##0.0000"/>
    <numFmt numFmtId="176" formatCode="#,##0.0"/>
    <numFmt numFmtId="177" formatCode="#,##0.00&quot;F&quot;;[Red]\-#,##0.00&quot;F&quot;"/>
    <numFmt numFmtId="178" formatCode="_-* #,##0_F_-;\-* #,##0_F_-;_-* &quot;-&quot;_F_-;_-@_-"/>
    <numFmt numFmtId="179" formatCode="#,##0.00&quot;F&quot;;\-#,##0.00&quot;F&quot;"/>
    <numFmt numFmtId="180" formatCode="_(&quot;$&quot;* #,##0_);_(&quot;$&quot;* \(#,##0\);_(&quot;$&quot;* &quot;-&quot;_);_(@_)"/>
    <numFmt numFmtId="181" formatCode="_-* #,##0.00&quot;F&quot;_-;\-* #,##0.00&quot;F&quot;_-;_-* &quot;-&quot;??&quot;F&quot;_-;_-@_-"/>
    <numFmt numFmtId="182" formatCode="_ * #,##0.00_ ;_ * \-#,##0.00_ ;_ * &quot;-&quot;??_ ;_ @_ "/>
    <numFmt numFmtId="183" formatCode="#,##0\ &quot;FB&quot;;[Red]\-#,##0\ &quot;FB&quot;"/>
    <numFmt numFmtId="184" formatCode="0.0"/>
    <numFmt numFmtId="185" formatCode="0\.000"/>
    <numFmt numFmtId="186" formatCode="_-* #,##0\ _F_-;\-* #,##0\ _F_-;_-* &quot;-&quot;\ _F_-;_-@_-"/>
    <numFmt numFmtId="187" formatCode="mmm"/>
    <numFmt numFmtId="188" formatCode="#,##0&quot; $&quot;"/>
    <numFmt numFmtId="189" formatCode="_(&quot;$&quot;* #,##0.00_);_(&quot;$&quot;* \(#,##0.00\);_(&quot;$&quot;* &quot;-&quot;??_);_(@_)"/>
    <numFmt numFmtId="190" formatCode="mmm\ yyyy"/>
    <numFmt numFmtId="191" formatCode="0;\-0;"/>
    <numFmt numFmtId="192" formatCode="\+0&quot; X2GE&quot;;\-0&quot; X2GE&quot;;&quot;0 X2GE&quot;"/>
    <numFmt numFmtId="193" formatCode="_([$€]* #,##0.00_);_([$€]* \(#,##0.00\);_([$€]* &quot;-&quot;??_);_(@_)"/>
    <numFmt numFmtId="194" formatCode="dd\-mm\-yyyy"/>
    <numFmt numFmtId="195" formatCode="_-* #,##0.00\ &quot;FB&quot;_-;\-* #,##0.00\ &quot;FB&quot;_-;_-* &quot;-&quot;??\ &quot;FB&quot;_-;_-@_-"/>
    <numFmt numFmtId="196" formatCode="&quot;$&quot;#,##0_);[Red]\(&quot;$&quot;#,##0\)"/>
    <numFmt numFmtId="197" formatCode="#,##0.0\ ;\(#,##0.0\)"/>
    <numFmt numFmtId="198" formatCode="#,##0&quot;F&quot;;\-#,##0&quot;F&quot;"/>
    <numFmt numFmtId="199" formatCode="#,##0.0_);\(#,##0.0\)"/>
    <numFmt numFmtId="200" formatCode="&quot;$&quot;#,##0\ \ \ ;\(&quot;$&quot;#,##0\)\ \ "/>
    <numFmt numFmtId="201" formatCode="#,##0\ \ \ ;\(#,##0\)\ \ "/>
    <numFmt numFmtId="202" formatCode="\2\.#"/>
    <numFmt numFmtId="203" formatCode="#,##0.000,&quot; k$&quot;"/>
    <numFmt numFmtId="204" formatCode="#,##0.000,&quot; k€&quot;;\-\ #,##0.000,&quot; k€&quot;;&quot;.&quot;;@"/>
    <numFmt numFmtId="205" formatCode="\+\ #,##0.000,&quot; k€&quot;;\-\ #,##0.000,&quot; k€&quot;;&quot;-&quot;;@"/>
    <numFmt numFmtId="206" formatCode="_(* #,##0_);_(* \(#,##0\);_(* &quot;-&quot;_);_(@_)"/>
    <numFmt numFmtId="207" formatCode="_(* #,##0.00_);_(* \(#,##0.00\);_(* &quot;-&quot;??_);_(@_)"/>
    <numFmt numFmtId="208" formatCode="0_);[Red]\(0\)"/>
    <numFmt numFmtId="209" formatCode="#,##0.0;\-#,##0.0;\ \-"/>
    <numFmt numFmtId="210" formatCode="_-* #,##0\ _p_t_a_-;\-* #,##0\ _p_t_a_-;_-* &quot;-&quot;\ _p_t_a_-;_-@_-"/>
    <numFmt numFmtId="211" formatCode="_-* #,##0.00\ _p_t_a_-;\-* #,##0.00\ _p_t_a_-;_-* &quot;-&quot;??\ _p_t_a_-;_-@_-"/>
    <numFmt numFmtId="212" formatCode="#,##0_ ;[Red]\-#,##0\ "/>
    <numFmt numFmtId="213" formatCode="#,##0&quot;F&quot;"/>
    <numFmt numFmtId="214" formatCode="#,##0\ ;\(#,##0\)"/>
    <numFmt numFmtId="215" formatCode="_-* #,##0\ &quot;pta&quot;_-;\-* #,##0\ &quot;pta&quot;_-;_-* &quot;-&quot;\ &quot;pta&quot;_-;_-@_-"/>
    <numFmt numFmtId="216" formatCode="_-* #,##0.00\ &quot;pta&quot;_-;\-* #,##0.00\ &quot;pta&quot;_-;_-* &quot;-&quot;??\ &quot;pta&quot;_-;_-@_-"/>
    <numFmt numFmtId="217" formatCode="_-* #,##0_-;\-* #,##0_-;_-* &quot;-&quot;??_-;_-@_-"/>
    <numFmt numFmtId="218" formatCode="_-* #,##0\ _F_-;\-* #,##0\ _F_-;_-* &quot;-&quot;??\ _F_-;_-@_-"/>
    <numFmt numFmtId="219" formatCode="_-* #,##0.00\ _F_B_-;\-* #,##0.00\ _F_B_-;_-* &quot;-&quot;??\ _F_B_-;_-@_-"/>
    <numFmt numFmtId="220" formatCode="_-* #,##0\ &quot;FB&quot;_-;\-* #,##0\ &quot;FB&quot;_-;_-* &quot;-&quot;\ &quot;FB&quot;_-;_-@_-"/>
    <numFmt numFmtId="221" formatCode="_-* #,##0&quot;F&quot;_-;\-* #,##0&quot;F&quot;_-;_-* &quot;-&quot;&quot;F&quot;_-;_-@_-"/>
    <numFmt numFmtId="222" formatCode="#,##0.00\ &quot;FB&quot;;\-#,##0.00\ &quot;FB&quot;"/>
    <numFmt numFmtId="223" formatCode="0;\-\ 0;&quot;.&quot;;@"/>
    <numFmt numFmtId="224" formatCode="_ * #,##0.00_)\ &quot;€&quot;_ ;_ * \(#,##0.00\)\ &quot;€&quot;_ ;_ * &quot;-&quot;??_)\ &quot;€&quot;_ ;_ @_ "/>
    <numFmt numFmtId="225" formatCode="#,##0.00000"/>
    <numFmt numFmtId="226" formatCode="00"/>
    <numFmt numFmtId="227" formatCode="0.0%;\(0.0%\)"/>
    <numFmt numFmtId="228" formatCode="0.0000000000"/>
    <numFmt numFmtId="229" formatCode="mmmm\-yy"/>
    <numFmt numFmtId="230" formatCode="\ #,##0.0_-;\(\ #,##0.0\)"/>
    <numFmt numFmtId="231" formatCode="#,##0.000;\(#,##0.000\)"/>
    <numFmt numFmtId="232" formatCode="&quot;Rs&quot;\ #\ &quot;millions&quot;"/>
    <numFmt numFmtId="233" formatCode="#,##0;\-#,##0"/>
    <numFmt numFmtId="234" formatCode="&quot;+ &quot;0.0%"/>
    <numFmt numFmtId="235" formatCode="mmmm\ yy"/>
    <numFmt numFmtId="236" formatCode="0&quot; SMS&quot;"/>
    <numFmt numFmtId="237" formatCode="_ * #,##0.0,_);_ * \(#,##0.0,\);_ * &quot;-&quot;??_);_ @_ "/>
    <numFmt numFmtId="238" formatCode="_ * #,##0,_);_ * \(#,##0,\);_ * &quot;-&quot;??_);_ @_ "/>
    <numFmt numFmtId="239" formatCode="\$#,##0.00_);\(\$#,##0.00\)"/>
    <numFmt numFmtId="240" formatCode="dd/mm/yy"/>
    <numFmt numFmtId="241" formatCode="0.0_);[Red]\(0.0\)"/>
    <numFmt numFmtId="242" formatCode="_-* #,##0\ &quot;F&quot;_-;\-* #,##0\ &quot;F&quot;_-;_-* &quot;-&quot;\ &quot;F&quot;_-;_-@_-"/>
    <numFmt numFmtId="243" formatCode="_-* #,##0_-;\-* #,##0_-;_-* &quot;-&quot;_-;_-@_-"/>
    <numFmt numFmtId="244" formatCode="0.0000"/>
    <numFmt numFmtId="245" formatCode="0.0000000%"/>
    <numFmt numFmtId="246" formatCode="_-* #,##0.00000\ _€_-;\-* #,##0.00000\ _€_-;_-* &quot;-&quot;??\ _€_-;_-@_-"/>
    <numFmt numFmtId="247" formatCode="_-* #,##0.000000\ _€_-;\-* #,##0.000000\ _€_-;_-* &quot;-&quot;??\ _€_-;_-@_-"/>
    <numFmt numFmtId="248" formatCode="0.000%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7"/>
      <name val="Helvetica"/>
      <family val="2"/>
    </font>
    <font>
      <sz val="11"/>
      <color indexed="9"/>
      <name val="Calibri"/>
      <family val="2"/>
    </font>
    <font>
      <sz val="10"/>
      <name val="Helv"/>
    </font>
    <font>
      <sz val="10"/>
      <color indexed="12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1"/>
      <color indexed="10"/>
      <name val="Calibri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12"/>
      <name val="Helvetica"/>
      <family val="2"/>
    </font>
    <font>
      <sz val="10"/>
      <name val="MS Sans Serif"/>
      <family val="2"/>
    </font>
    <font>
      <sz val="10"/>
      <name val="Geneva"/>
      <family val="2"/>
    </font>
    <font>
      <b/>
      <sz val="8"/>
      <color indexed="8"/>
      <name val="Arial"/>
      <family val="2"/>
    </font>
    <font>
      <b/>
      <sz val="11"/>
      <color indexed="52"/>
      <name val="Calibri"/>
      <family val="2"/>
    </font>
    <font>
      <sz val="10"/>
      <color indexed="16"/>
      <name val="MS Sans Serif"/>
      <family val="2"/>
    </font>
    <font>
      <sz val="11"/>
      <color indexed="52"/>
      <name val="Calibri"/>
      <family val="2"/>
    </font>
    <font>
      <sz val="10"/>
      <name val="Century Gothic"/>
      <family val="2"/>
    </font>
    <font>
      <b/>
      <u/>
      <sz val="8"/>
      <name val="Arial"/>
      <family val="2"/>
    </font>
    <font>
      <sz val="10"/>
      <color indexed="24"/>
      <name val="Arial"/>
      <family val="2"/>
    </font>
    <font>
      <b/>
      <sz val="8"/>
      <name val="Times New Roman"/>
      <family val="1"/>
    </font>
    <font>
      <sz val="10"/>
      <name val="Helvetica"/>
      <family val="2"/>
    </font>
    <font>
      <b/>
      <sz val="9"/>
      <name val="CG Times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8"/>
      <name val="Helv"/>
    </font>
    <font>
      <sz val="8"/>
      <color indexed="18"/>
      <name val="Times New Roman"/>
      <family val="1"/>
    </font>
    <font>
      <b/>
      <sz val="8"/>
      <name val="Arial"/>
      <family val="2"/>
    </font>
    <font>
      <sz val="10"/>
      <color indexed="20"/>
      <name val="Arial"/>
      <family val="2"/>
    </font>
    <font>
      <sz val="1"/>
      <color indexed="8"/>
      <name val="Courier"/>
      <family val="3"/>
    </font>
    <font>
      <b/>
      <sz val="10"/>
      <name val="Arial"/>
      <family val="2"/>
    </font>
    <font>
      <u val="doubleAccounting"/>
      <sz val="10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9"/>
      <color indexed="12"/>
      <name val="Arial"/>
      <family val="2"/>
    </font>
    <font>
      <sz val="11"/>
      <color indexed="62"/>
      <name val="Calibri"/>
      <family val="2"/>
    </font>
    <font>
      <b/>
      <sz val="8"/>
      <color indexed="9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8"/>
      <name val="MS Sans Serif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0"/>
      <color indexed="9"/>
      <name val="MS Sans Serif"/>
      <family val="2"/>
    </font>
    <font>
      <sz val="12"/>
      <color indexed="9"/>
      <name val="Arial"/>
      <family val="2"/>
    </font>
    <font>
      <u/>
      <sz val="7.5"/>
      <color indexed="36"/>
      <name val="FuturaA Bk BT"/>
    </font>
    <font>
      <u/>
      <sz val="7.5"/>
      <color indexed="12"/>
      <name val="FuturaA Bk BT"/>
    </font>
    <font>
      <u/>
      <sz val="9"/>
      <color indexed="12"/>
      <name val="Arial"/>
      <family val="2"/>
    </font>
    <font>
      <b/>
      <sz val="10"/>
      <color indexed="17"/>
      <name val="MS Sans Serif"/>
      <family val="2"/>
    </font>
    <font>
      <sz val="12"/>
      <name val="Helv"/>
    </font>
    <font>
      <sz val="12"/>
      <color indexed="10"/>
      <name val="Bookman Old Style"/>
      <family val="1"/>
    </font>
    <font>
      <i/>
      <sz val="12"/>
      <color indexed="10"/>
      <name val="Bookman Old Style"/>
      <family val="1"/>
    </font>
    <font>
      <sz val="10"/>
      <color indexed="16"/>
      <name val="Times New Roman"/>
      <family val="1"/>
    </font>
    <font>
      <sz val="1"/>
      <color indexed="10"/>
      <name val="Arial"/>
      <family val="2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1"/>
      <color indexed="20"/>
      <name val="Calibri"/>
      <family val="2"/>
    </font>
    <font>
      <b/>
      <sz val="10"/>
      <color indexed="10"/>
      <name val="Arial"/>
      <family val="2"/>
    </font>
    <font>
      <sz val="12"/>
      <color indexed="9"/>
      <name val="Helv"/>
    </font>
    <font>
      <b/>
      <sz val="10"/>
      <color indexed="12"/>
      <name val="Arial"/>
      <family val="2"/>
    </font>
    <font>
      <sz val="8"/>
      <name val="MS Sans Serif"/>
      <family val="2"/>
    </font>
    <font>
      <sz val="8"/>
      <color indexed="23"/>
      <name val="Arial Narrow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Helvetica 55 Roman"/>
    </font>
    <font>
      <sz val="10"/>
      <name val="FuturaA Bk BT"/>
    </font>
    <font>
      <sz val="8"/>
      <name val="Helvetica"/>
      <family val="2"/>
    </font>
    <font>
      <b/>
      <sz val="26"/>
      <name val="Times New Roman"/>
      <family val="1"/>
    </font>
    <font>
      <i/>
      <sz val="10"/>
      <color indexed="10"/>
      <name val="Futura Bk BT"/>
      <family val="2"/>
    </font>
    <font>
      <sz val="10"/>
      <name val="Futura Bk BT"/>
    </font>
    <font>
      <sz val="10"/>
      <color indexed="18"/>
      <name val="MS Sans Serif"/>
      <family val="2"/>
    </font>
    <font>
      <sz val="10"/>
      <color indexed="10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9"/>
      <name val="Arial"/>
      <family val="2"/>
    </font>
    <font>
      <b/>
      <sz val="10"/>
      <name val="Palatino"/>
      <family val="1"/>
    </font>
    <font>
      <sz val="12"/>
      <name val="Palatino"/>
      <family val="1"/>
    </font>
    <font>
      <sz val="11"/>
      <name val="Helvetica-Black"/>
    </font>
    <font>
      <i/>
      <sz val="11"/>
      <color indexed="23"/>
      <name val="Calibri"/>
      <family val="2"/>
    </font>
    <font>
      <sz val="10"/>
      <name val="FuturaA Bk BT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  <font>
      <b/>
      <sz val="11"/>
      <color indexed="8"/>
      <name val="Calibri"/>
      <family val="2"/>
    </font>
    <font>
      <sz val="10"/>
      <name val="ACaslon Regular"/>
    </font>
    <font>
      <b/>
      <sz val="11"/>
      <color indexed="9"/>
      <name val="Calibri"/>
      <family val="2"/>
    </font>
    <font>
      <sz val="10"/>
      <color indexed="19"/>
      <name val="Arial"/>
      <family val="2"/>
    </font>
    <font>
      <sz val="11"/>
      <name val="돋움"/>
      <family val="3"/>
      <charset val="129"/>
    </font>
    <font>
      <sz val="11"/>
      <name val="ＭＳ Ｐゴシック"/>
      <charset val="128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B050"/>
      <name val="Arial"/>
      <family val="2"/>
    </font>
    <font>
      <b/>
      <u/>
      <sz val="10"/>
      <color theme="6" tint="-0.249977111117893"/>
      <name val="Arial"/>
      <family val="2"/>
    </font>
    <font>
      <b/>
      <u/>
      <sz val="10"/>
      <name val="Arial"/>
      <family val="2"/>
    </font>
    <font>
      <b/>
      <u/>
      <sz val="10"/>
      <color theme="5" tint="0.59999389629810485"/>
      <name val="Arial"/>
      <family val="2"/>
    </font>
    <font>
      <u/>
      <sz val="10"/>
      <color theme="1"/>
      <name val="Arial"/>
      <family val="2"/>
    </font>
    <font>
      <b/>
      <u/>
      <sz val="10"/>
      <color rgb="FF0000FF"/>
      <name val="Arial"/>
      <family val="2"/>
    </font>
    <font>
      <b/>
      <u/>
      <sz val="10"/>
      <color theme="4" tint="0.39997558519241921"/>
      <name val="Arial"/>
      <family val="2"/>
    </font>
    <font>
      <b/>
      <u/>
      <sz val="12"/>
      <color rgb="FFFF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12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 diagonalUp="1" diagonalDown="1">
      <left/>
      <right/>
      <top/>
      <bottom/>
      <diagonal style="thin">
        <color auto="1"/>
      </diagonal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 diagonalUp="1" diagonalDown="1">
      <left style="thin">
        <color rgb="FFFF0000"/>
      </left>
      <right/>
      <top/>
      <bottom/>
      <diagonal style="thin">
        <color auto="1"/>
      </diagonal>
    </border>
    <border>
      <left/>
      <right style="thin">
        <color rgb="FFFF0000"/>
      </right>
      <top/>
      <bottom/>
      <diagonal/>
    </border>
    <border diagonalUp="1" diagonalDown="1">
      <left style="thin">
        <color rgb="FFFF0000"/>
      </left>
      <right/>
      <top/>
      <bottom style="thin">
        <color rgb="FFFF0000"/>
      </bottom>
      <diagonal style="thin">
        <color auto="1"/>
      </diagonal>
    </border>
    <border diagonalUp="1" diagonalDown="1">
      <left/>
      <right/>
      <top/>
      <bottom style="thin">
        <color rgb="FFFF0000"/>
      </bottom>
      <diagonal style="thin">
        <color auto="1"/>
      </diagonal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 diagonalUp="1" diagonalDown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theme="1"/>
      </diagonal>
    </border>
    <border diagonalUp="1" diagonalDown="1">
      <left/>
      <right/>
      <top style="thin">
        <color rgb="FFFF0000"/>
      </top>
      <bottom style="thin">
        <color rgb="FFFF0000"/>
      </bottom>
      <diagonal style="thin">
        <color theme="1"/>
      </diagonal>
    </border>
    <border>
      <left style="thin">
        <color rgb="FF0000FF"/>
      </left>
      <right style="thin">
        <color rgb="FFFF0000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FF000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Up="1" diagonalDown="1">
      <left/>
      <right/>
      <top style="thin">
        <color rgb="FFFF0000"/>
      </top>
      <bottom style="thin">
        <color rgb="FFFF0000"/>
      </bottom>
      <diagonal style="thin">
        <color auto="1"/>
      </diagonal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 diagonalUp="1" diagonalDown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auto="1"/>
      </diagonal>
    </border>
    <border>
      <left style="thin">
        <color rgb="FFFF0000"/>
      </left>
      <right/>
      <top style="thin">
        <color rgb="FFFF0000"/>
      </top>
      <bottom style="thin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 diagonalUp="1" diagonalDown="1">
      <left/>
      <right/>
      <top style="thin">
        <color rgb="FF0000FF"/>
      </top>
      <bottom style="thin">
        <color rgb="FF0000FF"/>
      </bottom>
      <diagonal style="thin">
        <color theme="1"/>
      </diagonal>
    </border>
    <border diagonalUp="1" diagonalDown="1">
      <left/>
      <right style="thin">
        <color rgb="FF0000FF"/>
      </right>
      <top style="thin">
        <color rgb="FF0000FF"/>
      </top>
      <bottom style="thin">
        <color rgb="FF0000FF"/>
      </bottom>
      <diagonal style="thin">
        <color theme="1"/>
      </diagonal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 diagonalUp="1" diagonalDown="1">
      <left/>
      <right style="thin">
        <color rgb="FF00B050"/>
      </right>
      <top style="thin">
        <color rgb="FF00B050"/>
      </top>
      <bottom/>
      <diagonal style="thin">
        <color theme="1"/>
      </diagonal>
    </border>
    <border diagonalUp="1" diagonalDown="1">
      <left/>
      <right/>
      <top style="thin">
        <color rgb="FF00B050"/>
      </top>
      <bottom/>
      <diagonal style="thin">
        <color theme="1"/>
      </diagonal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 diagonalUp="1" diagonalDown="1">
      <left/>
      <right/>
      <top/>
      <bottom style="thin">
        <color rgb="FF0000FF"/>
      </bottom>
      <diagonal style="thin">
        <color theme="1"/>
      </diagonal>
    </border>
    <border diagonalUp="1" diagonalDown="1">
      <left/>
      <right style="thin">
        <color rgb="FF0000FF"/>
      </right>
      <top/>
      <bottom style="thin">
        <color rgb="FF0000FF"/>
      </bottom>
      <diagonal style="thin">
        <color theme="1"/>
      </diagonal>
    </border>
    <border>
      <left style="thin">
        <color rgb="FF0000FF"/>
      </left>
      <right/>
      <top/>
      <bottom/>
      <diagonal/>
    </border>
    <border diagonalUp="1" diagonalDown="1">
      <left/>
      <right/>
      <top style="thin">
        <color rgb="FF0000FF"/>
      </top>
      <bottom/>
      <diagonal style="thin">
        <color theme="1"/>
      </diagonal>
    </border>
    <border diagonalUp="1" diagonalDown="1">
      <left/>
      <right style="thin">
        <color rgb="FF0000FF"/>
      </right>
      <top style="thin">
        <color rgb="FF0000FF"/>
      </top>
      <bottom/>
      <diagonal style="thin">
        <color theme="1"/>
      </diagonal>
    </border>
    <border>
      <left/>
      <right style="thin">
        <color rgb="FFFF0000"/>
      </right>
      <top/>
      <bottom style="thin">
        <color rgb="FF00B050"/>
      </bottom>
      <diagonal/>
    </border>
    <border diagonalUp="1" diagonalDown="1">
      <left style="thin">
        <color rgb="FFFF0000"/>
      </left>
      <right/>
      <top style="thin">
        <color rgb="FFFF0000"/>
      </top>
      <bottom style="thin">
        <color rgb="FFFF0000"/>
      </bottom>
      <diagonal style="thin">
        <color theme="1"/>
      </diagonal>
    </border>
    <border diagonalUp="1" diagonalDown="1">
      <left/>
      <right/>
      <top style="thin">
        <color rgb="FF0000FF"/>
      </top>
      <bottom style="thin">
        <color rgb="FF0000FF"/>
      </bottom>
      <diagonal style="thin">
        <color auto="1"/>
      </diagonal>
    </border>
    <border diagonalUp="1" diagonalDown="1">
      <left/>
      <right style="thin">
        <color rgb="FF0000FF"/>
      </right>
      <top style="thin">
        <color rgb="FF0000FF"/>
      </top>
      <bottom style="thin">
        <color rgb="FF0000FF"/>
      </bottom>
      <diagonal style="thin">
        <color auto="1"/>
      </diagonal>
    </border>
    <border diagonalUp="1" diagonalDown="1">
      <left/>
      <right/>
      <top style="thin">
        <color rgb="FFFF0000"/>
      </top>
      <bottom/>
      <diagonal style="thin">
        <color theme="1"/>
      </diagonal>
    </border>
    <border diagonalUp="1" diagonalDown="1">
      <left/>
      <right style="thin">
        <color rgb="FFFF0000"/>
      </right>
      <top style="thin">
        <color rgb="FFFF0000"/>
      </top>
      <bottom/>
      <diagonal style="thin">
        <color theme="1"/>
      </diagonal>
    </border>
    <border>
      <left style="thin">
        <color rgb="FF0000FF"/>
      </left>
      <right/>
      <top style="thin">
        <color rgb="FF0000FF"/>
      </top>
      <bottom style="thin">
        <color rgb="FFFF0000"/>
      </bottom>
      <diagonal/>
    </border>
    <border>
      <left/>
      <right/>
      <top style="thin">
        <color rgb="FF0000FF"/>
      </top>
      <bottom style="thin">
        <color rgb="FFFF0000"/>
      </bottom>
      <diagonal/>
    </border>
    <border diagonalUp="1" diagonalDown="1">
      <left/>
      <right/>
      <top style="thin">
        <color rgb="FF0000FF"/>
      </top>
      <bottom style="thin">
        <color rgb="FFFF0000"/>
      </bottom>
      <diagonal style="thin">
        <color auto="1"/>
      </diagonal>
    </border>
    <border diagonalUp="1" diagonalDown="1">
      <left/>
      <right style="thin">
        <color rgb="FF0000FF"/>
      </right>
      <top style="thin">
        <color rgb="FF0000FF"/>
      </top>
      <bottom style="thin">
        <color rgb="FFFF0000"/>
      </bottom>
      <diagonal style="thin">
        <color auto="1"/>
      </diagonal>
    </border>
    <border diagonalUp="1" diagonalDown="1">
      <left/>
      <right/>
      <top style="thin">
        <color rgb="FF0000FF"/>
      </top>
      <bottom style="thin">
        <color rgb="FFFF0000"/>
      </bottom>
      <diagonal style="thin">
        <color theme="1"/>
      </diagonal>
    </border>
    <border diagonalUp="1" diagonalDown="1">
      <left/>
      <right style="thin">
        <color rgb="FF0000FF"/>
      </right>
      <top style="thin">
        <color rgb="FF0000FF"/>
      </top>
      <bottom style="thin">
        <color rgb="FFFF0000"/>
      </bottom>
      <diagonal style="thin">
        <color theme="1"/>
      </diagonal>
    </border>
    <border>
      <left/>
      <right style="thin">
        <color rgb="FF0000FF"/>
      </right>
      <top style="thin">
        <color rgb="FF0000FF"/>
      </top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FF"/>
      </left>
      <right/>
      <top style="thin">
        <color rgb="FF00B050"/>
      </top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0000FF"/>
      </bottom>
      <diagonal/>
    </border>
    <border>
      <left/>
      <right/>
      <top style="thin">
        <color rgb="FFFF0000"/>
      </top>
      <bottom style="thin">
        <color rgb="FF0000FF"/>
      </bottom>
      <diagonal/>
    </border>
    <border>
      <left/>
      <right style="thin">
        <color rgb="FFFF0000"/>
      </right>
      <top style="thin">
        <color rgb="FFFF0000"/>
      </top>
      <bottom style="thin">
        <color rgb="FF0000FF"/>
      </bottom>
      <diagonal/>
    </border>
    <border>
      <left style="thin">
        <color rgb="FF00B050"/>
      </left>
      <right style="medium">
        <color theme="1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theme="1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theme="1"/>
      </right>
      <top style="thin">
        <color rgb="FF00B050"/>
      </top>
      <bottom style="medium">
        <color indexed="64"/>
      </bottom>
      <diagonal/>
    </border>
    <border>
      <left/>
      <right style="thin">
        <color rgb="FF0000FF"/>
      </right>
      <top/>
      <bottom/>
      <diagonal/>
    </border>
    <border diagonalUp="1" diagonalDown="1">
      <left/>
      <right style="thin">
        <color rgb="FFFF0000"/>
      </right>
      <top style="thin">
        <color rgb="FFFF0000"/>
      </top>
      <bottom style="thin">
        <color rgb="FF0000FF"/>
      </bottom>
      <diagonal style="thin">
        <color theme="1"/>
      </diagonal>
    </border>
    <border>
      <left/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0000FF"/>
      </left>
      <right/>
      <top style="thin">
        <color rgb="FFFF0000"/>
      </top>
      <bottom style="thin">
        <color rgb="FFFF0000"/>
      </bottom>
      <diagonal/>
    </border>
  </borders>
  <cellStyleXfs count="5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17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>
      <alignment vertical="center" wrapText="1"/>
    </xf>
    <xf numFmtId="0" fontId="4" fillId="0" borderId="0">
      <alignment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 wrapText="1"/>
    </xf>
    <xf numFmtId="0" fontId="4" fillId="0" borderId="0">
      <alignment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>
      <alignment vertical="center" wrapText="1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  <xf numFmtId="170" fontId="2" fillId="0" borderId="0"/>
    <xf numFmtId="0" fontId="2" fillId="0" borderId="0"/>
    <xf numFmtId="0" fontId="2" fillId="0" borderId="0"/>
    <xf numFmtId="0" fontId="6" fillId="0" borderId="0"/>
    <xf numFmtId="171" fontId="2" fillId="0" borderId="0"/>
    <xf numFmtId="171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0" borderId="0"/>
    <xf numFmtId="0" fontId="8" fillId="0" borderId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>
      <protection locked="0"/>
    </xf>
    <xf numFmtId="0" fontId="11" fillId="17" borderId="0" applyFont="0" applyFill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172" fontId="2" fillId="22" borderId="33">
      <alignment horizontal="center" vertical="center"/>
    </xf>
    <xf numFmtId="172" fontId="2" fillId="22" borderId="33">
      <alignment horizontal="center" vertical="center"/>
    </xf>
    <xf numFmtId="170" fontId="2" fillId="0" borderId="0"/>
    <xf numFmtId="0" fontId="12" fillId="0" borderId="0">
      <alignment horizontal="center" wrapText="1"/>
      <protection locked="0"/>
    </xf>
    <xf numFmtId="0" fontId="12" fillId="0" borderId="0">
      <alignment horizontal="center" wrapText="1"/>
      <protection locked="0"/>
    </xf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Fill="0" applyBorder="0" applyAlignment="0" applyProtection="0">
      <protection locked="0"/>
    </xf>
    <xf numFmtId="173" fontId="17" fillId="0" borderId="0" applyNumberFormat="0" applyFont="0" applyAlignment="0"/>
    <xf numFmtId="173" fontId="17" fillId="0" borderId="0" applyNumberFormat="0" applyFont="0" applyAlignment="0"/>
    <xf numFmtId="14" fontId="18" fillId="0" borderId="0" applyNumberFormat="0" applyFill="0" applyBorder="0" applyAlignment="0" applyProtection="0">
      <alignment horizontal="center"/>
    </xf>
    <xf numFmtId="14" fontId="18" fillId="0" borderId="0" applyNumberFormat="0" applyFill="0" applyBorder="0" applyAlignment="0" applyProtection="0">
      <alignment horizontal="center"/>
    </xf>
    <xf numFmtId="0" fontId="19" fillId="24" borderId="0"/>
    <xf numFmtId="0" fontId="19" fillId="24" borderId="0"/>
    <xf numFmtId="0" fontId="20" fillId="0" borderId="0"/>
    <xf numFmtId="0" fontId="20" fillId="0" borderId="0"/>
    <xf numFmtId="0" fontId="21" fillId="23" borderId="34" applyNumberFormat="0" applyFill="0" applyBorder="0" applyAlignment="0" applyProtection="0">
      <protection locked="0"/>
    </xf>
    <xf numFmtId="0" fontId="12" fillId="0" borderId="35" applyNumberFormat="0" applyFont="0" applyFill="0" applyAlignment="0" applyProtection="0"/>
    <xf numFmtId="174" fontId="2" fillId="0" borderId="36" applyNumberFormat="0" applyFill="0" applyAlignment="0" applyProtection="0"/>
    <xf numFmtId="174" fontId="2" fillId="0" borderId="36" applyNumberFormat="0" applyFill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2" fillId="25" borderId="37" applyNumberFormat="0" applyAlignment="0" applyProtection="0"/>
    <xf numFmtId="3" fontId="23" fillId="0" borderId="0" applyFill="0" applyBorder="0" applyProtection="0"/>
    <xf numFmtId="3" fontId="23" fillId="0" borderId="0" applyFill="0" applyBorder="0" applyProtection="0"/>
    <xf numFmtId="0" fontId="24" fillId="0" borderId="38" applyNumberFormat="0" applyFill="0" applyAlignment="0" applyProtection="0"/>
    <xf numFmtId="0" fontId="25" fillId="0" borderId="0"/>
    <xf numFmtId="0" fontId="26" fillId="0" borderId="0" applyNumberFormat="0" applyFill="0" applyBorder="0" applyProtection="0">
      <alignment horizontal="right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0" fontId="28" fillId="0" borderId="0" applyFont="0" applyFill="0" applyBorder="0" applyAlignment="0" applyProtection="0">
      <alignment horizontal="center"/>
    </xf>
    <xf numFmtId="40" fontId="28" fillId="0" borderId="0" applyFont="0" applyFill="0" applyBorder="0" applyAlignment="0" applyProtection="0">
      <alignment horizontal="center"/>
    </xf>
    <xf numFmtId="178" fontId="2" fillId="0" borderId="0" applyFont="0" applyFill="0" applyBorder="0" applyAlignment="0" applyProtection="0">
      <alignment horizontal="center"/>
    </xf>
    <xf numFmtId="178" fontId="2" fillId="0" borderId="0" applyFont="0" applyFill="0" applyBorder="0" applyAlignment="0" applyProtection="0">
      <alignment horizontal="center"/>
    </xf>
    <xf numFmtId="171" fontId="2" fillId="0" borderId="0"/>
    <xf numFmtId="171" fontId="2" fillId="0" borderId="0"/>
    <xf numFmtId="0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" fillId="26" borderId="39" applyNumberFormat="0" applyFont="0" applyAlignment="0" applyProtection="0"/>
    <xf numFmtId="171" fontId="2" fillId="0" borderId="0"/>
    <xf numFmtId="171" fontId="2" fillId="0" borderId="0"/>
    <xf numFmtId="37" fontId="30" fillId="27" borderId="30">
      <alignment horizontal="right"/>
    </xf>
    <xf numFmtId="2" fontId="2" fillId="28" borderId="0"/>
    <xf numFmtId="0" fontId="31" fillId="0" borderId="0">
      <alignment horizontal="left"/>
    </xf>
    <xf numFmtId="0" fontId="32" fillId="0" borderId="0"/>
    <xf numFmtId="0" fontId="33" fillId="0" borderId="0">
      <alignment horizontal="left"/>
    </xf>
    <xf numFmtId="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34" fillId="0" borderId="0" applyFill="0" applyBorder="0">
      <alignment horizontal="right"/>
    </xf>
    <xf numFmtId="182" fontId="2" fillId="0" borderId="0" applyFont="0" applyFill="0" applyBorder="0" applyAlignment="0" applyProtection="0">
      <alignment vertical="top"/>
    </xf>
    <xf numFmtId="182" fontId="2" fillId="0" borderId="0" applyFont="0" applyFill="0" applyBorder="0" applyAlignment="0" applyProtection="0">
      <alignment vertical="top"/>
    </xf>
    <xf numFmtId="180" fontId="35" fillId="0" borderId="0" applyNumberFormat="0" applyFill="0" applyBorder="0" applyAlignment="0"/>
    <xf numFmtId="180" fontId="35" fillId="0" borderId="0" applyNumberFormat="0" applyFill="0" applyBorder="0" applyAlignment="0"/>
    <xf numFmtId="0" fontId="17" fillId="29" borderId="0" applyNumberFormat="0" applyFont="0" applyBorder="0" applyAlignment="0" applyProtection="0">
      <protection locked="0"/>
    </xf>
    <xf numFmtId="0" fontId="27" fillId="0" borderId="0" applyFont="0" applyFill="0" applyBorder="0" applyAlignment="0" applyProtection="0"/>
    <xf numFmtId="17" fontId="36" fillId="0" borderId="0" applyFill="0" applyBorder="0">
      <alignment horizontal="right"/>
    </xf>
    <xf numFmtId="17" fontId="36" fillId="0" borderId="0" applyFill="0" applyBorder="0">
      <alignment horizontal="right"/>
    </xf>
    <xf numFmtId="0" fontId="27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4" fontId="19" fillId="0" borderId="0"/>
    <xf numFmtId="14" fontId="19" fillId="0" borderId="0"/>
    <xf numFmtId="184" fontId="10" fillId="0" borderId="0" applyFont="0" applyFill="0" applyBorder="0" applyAlignment="0" applyProtection="0"/>
    <xf numFmtId="185" fontId="4" fillId="0" borderId="0"/>
    <xf numFmtId="185" fontId="4" fillId="0" borderId="0"/>
    <xf numFmtId="3" fontId="37" fillId="0" borderId="0" applyFill="0" applyBorder="0">
      <alignment vertical="center"/>
    </xf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188" fontId="39" fillId="0" borderId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9" fontId="40" fillId="0" borderId="0" applyFill="0" applyBorder="0" applyAlignment="0" applyProtection="0"/>
    <xf numFmtId="3" fontId="17" fillId="0" borderId="40" applyNumberFormat="0" applyBorder="0"/>
    <xf numFmtId="190" fontId="2" fillId="0" borderId="0">
      <protection locked="0"/>
    </xf>
    <xf numFmtId="190" fontId="2" fillId="0" borderId="0">
      <protection locked="0"/>
    </xf>
    <xf numFmtId="190" fontId="2" fillId="0" borderId="0">
      <protection locked="0"/>
    </xf>
    <xf numFmtId="190" fontId="2" fillId="0" borderId="0">
      <protection locked="0"/>
    </xf>
    <xf numFmtId="1" fontId="1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91" fontId="43" fillId="0" borderId="41" applyFont="0" applyFill="0" applyBorder="0" applyAlignment="0">
      <alignment horizontal="center"/>
    </xf>
    <xf numFmtId="180" fontId="2" fillId="0" borderId="0">
      <alignment horizontal="center"/>
      <protection locked="0"/>
    </xf>
    <xf numFmtId="180" fontId="2" fillId="0" borderId="0">
      <alignment horizontal="center"/>
      <protection locked="0"/>
    </xf>
    <xf numFmtId="0" fontId="44" fillId="8" borderId="37" applyNumberFormat="0" applyAlignment="0" applyProtection="0"/>
    <xf numFmtId="192" fontId="45" fillId="30" borderId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194" fontId="2" fillId="0" borderId="0">
      <protection locked="0"/>
    </xf>
    <xf numFmtId="194" fontId="2" fillId="0" borderId="0">
      <protection locked="0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95" fontId="2" fillId="0" borderId="0">
      <protection locked="0"/>
    </xf>
    <xf numFmtId="195" fontId="2" fillId="0" borderId="0">
      <protection locked="0"/>
    </xf>
    <xf numFmtId="196" fontId="4" fillId="0" borderId="0">
      <protection locked="0"/>
    </xf>
    <xf numFmtId="196" fontId="4" fillId="0" borderId="0">
      <protection locked="0"/>
    </xf>
    <xf numFmtId="197" fontId="2" fillId="0" borderId="0" applyFill="0" applyBorder="0">
      <alignment horizontal="right"/>
    </xf>
    <xf numFmtId="197" fontId="2" fillId="0" borderId="0" applyFill="0" applyBorder="0">
      <alignment horizontal="right"/>
    </xf>
    <xf numFmtId="0" fontId="46" fillId="0" borderId="0">
      <alignment horizontal="left"/>
    </xf>
    <xf numFmtId="0" fontId="47" fillId="0" borderId="0">
      <alignment horizontal="left"/>
    </xf>
    <xf numFmtId="0" fontId="48" fillId="0" borderId="0">
      <alignment horizontal="left"/>
    </xf>
    <xf numFmtId="0" fontId="48" fillId="0" borderId="0" applyNumberFormat="0" applyFill="0" applyBorder="0" applyProtection="0">
      <alignment horizontal="left"/>
    </xf>
    <xf numFmtId="177" fontId="2" fillId="23" borderId="30" applyFont="0" applyBorder="0" applyAlignment="0" applyProtection="0">
      <alignment vertical="top"/>
    </xf>
    <xf numFmtId="177" fontId="2" fillId="23" borderId="30" applyFont="0" applyBorder="0" applyAlignment="0" applyProtection="0">
      <alignment vertical="top"/>
    </xf>
    <xf numFmtId="3" fontId="49" fillId="31" borderId="30">
      <alignment horizontal="right" vertical="center"/>
    </xf>
    <xf numFmtId="1" fontId="2" fillId="32" borderId="30"/>
    <xf numFmtId="1" fontId="2" fillId="32" borderId="30"/>
    <xf numFmtId="2" fontId="20" fillId="0" borderId="0">
      <alignment horizontal="left"/>
    </xf>
    <xf numFmtId="2" fontId="20" fillId="0" borderId="0">
      <alignment horizontal="left"/>
    </xf>
    <xf numFmtId="38" fontId="17" fillId="23" borderId="0" applyNumberFormat="0" applyBorder="0" applyAlignment="0" applyProtection="0"/>
    <xf numFmtId="38" fontId="17" fillId="23" borderId="0" applyNumberFormat="0" applyBorder="0" applyAlignment="0" applyProtection="0"/>
    <xf numFmtId="0" fontId="39" fillId="0" borderId="0" applyBorder="0">
      <alignment horizontal="left"/>
    </xf>
    <xf numFmtId="183" fontId="2" fillId="33" borderId="30" applyNumberFormat="0" applyFont="0" applyAlignment="0"/>
    <xf numFmtId="183" fontId="2" fillId="33" borderId="30" applyNumberFormat="0" applyFont="0" applyAlignment="0"/>
    <xf numFmtId="0" fontId="50" fillId="0" borderId="0">
      <alignment horizontal="left"/>
    </xf>
    <xf numFmtId="0" fontId="50" fillId="0" borderId="0">
      <alignment horizontal="left"/>
    </xf>
    <xf numFmtId="0" fontId="51" fillId="0" borderId="0" applyProtection="0">
      <alignment horizontal="right" vertical="top"/>
    </xf>
    <xf numFmtId="0" fontId="52" fillId="0" borderId="31" applyNumberFormat="0" applyAlignment="0" applyProtection="0">
      <alignment horizontal="left" vertical="center"/>
    </xf>
    <xf numFmtId="0" fontId="52" fillId="0" borderId="42">
      <alignment horizontal="left" vertical="center"/>
    </xf>
    <xf numFmtId="0" fontId="52" fillId="0" borderId="0"/>
    <xf numFmtId="0" fontId="52" fillId="0" borderId="0"/>
    <xf numFmtId="0" fontId="52" fillId="0" borderId="0"/>
    <xf numFmtId="0" fontId="53" fillId="0" borderId="43">
      <alignment horizontal="left" vertical="top"/>
    </xf>
    <xf numFmtId="0" fontId="54" fillId="0" borderId="0">
      <alignment horizontal="left"/>
    </xf>
    <xf numFmtId="0" fontId="53" fillId="0" borderId="43">
      <alignment horizontal="left" vertical="top"/>
    </xf>
    <xf numFmtId="0" fontId="53" fillId="0" borderId="43">
      <alignment horizontal="left" vertical="top"/>
    </xf>
    <xf numFmtId="0" fontId="55" fillId="0" borderId="43">
      <alignment horizontal="left" vertical="top"/>
    </xf>
    <xf numFmtId="0" fontId="56" fillId="0" borderId="0">
      <alignment horizontal="left"/>
    </xf>
    <xf numFmtId="0" fontId="56" fillId="0" borderId="0">
      <alignment horizontal="left"/>
    </xf>
    <xf numFmtId="0" fontId="55" fillId="0" borderId="43">
      <alignment horizontal="left" vertical="top"/>
    </xf>
    <xf numFmtId="0" fontId="57" fillId="0" borderId="43">
      <alignment horizontal="left" vertical="top"/>
    </xf>
    <xf numFmtId="0" fontId="58" fillId="0" borderId="0">
      <alignment horizontal="left"/>
    </xf>
    <xf numFmtId="0" fontId="58" fillId="0" borderId="0">
      <alignment horizontal="left"/>
    </xf>
    <xf numFmtId="198" fontId="2" fillId="0" borderId="0">
      <protection locked="0"/>
    </xf>
    <xf numFmtId="198" fontId="2" fillId="0" borderId="0">
      <protection locked="0"/>
    </xf>
    <xf numFmtId="0" fontId="39" fillId="0" borderId="0"/>
    <xf numFmtId="0" fontId="59" fillId="0" borderId="0" applyNumberFormat="0" applyBorder="0"/>
    <xf numFmtId="0" fontId="59" fillId="0" borderId="0" applyNumberFormat="0" applyBorder="0"/>
    <xf numFmtId="0" fontId="60" fillId="34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Fill="0" applyBorder="0" applyProtection="0"/>
    <xf numFmtId="10" fontId="17" fillId="23" borderId="30" applyNumberFormat="0" applyBorder="0" applyAlignment="0" applyProtection="0"/>
    <xf numFmtId="10" fontId="17" fillId="23" borderId="30" applyNumberFormat="0" applyBorder="0" applyAlignment="0" applyProtection="0"/>
    <xf numFmtId="0" fontId="64" fillId="0" borderId="0" applyFill="0" applyBorder="0" applyProtection="0"/>
    <xf numFmtId="199" fontId="65" fillId="35" borderId="0"/>
    <xf numFmtId="0" fontId="66" fillId="0" borderId="44"/>
    <xf numFmtId="0" fontId="66" fillId="0" borderId="44"/>
    <xf numFmtId="9" fontId="67" fillId="0" borderId="44" applyFill="0" applyAlignment="0" applyProtection="0"/>
    <xf numFmtId="9" fontId="67" fillId="0" borderId="44" applyFill="0" applyAlignment="0" applyProtection="0"/>
    <xf numFmtId="0" fontId="68" fillId="0" borderId="44"/>
    <xf numFmtId="0" fontId="68" fillId="0" borderId="44"/>
    <xf numFmtId="0" fontId="69" fillId="0" borderId="44" applyNumberFormat="0" applyFill="0" applyAlignment="0" applyProtection="0"/>
    <xf numFmtId="183" fontId="2" fillId="33" borderId="0" applyNumberFormat="0" applyFont="0" applyBorder="0" applyAlignment="0" applyProtection="0">
      <alignment horizontal="center"/>
      <protection locked="0"/>
    </xf>
    <xf numFmtId="183" fontId="2" fillId="33" borderId="0" applyNumberFormat="0" applyFont="0" applyBorder="0" applyAlignment="0" applyProtection="0">
      <alignment horizontal="center"/>
      <protection locked="0"/>
    </xf>
    <xf numFmtId="184" fontId="17" fillId="33" borderId="45" applyNumberFormat="0" applyFont="0" applyAlignment="0" applyProtection="0">
      <alignment horizontal="center"/>
      <protection locked="0"/>
    </xf>
    <xf numFmtId="184" fontId="17" fillId="33" borderId="45" applyNumberFormat="0" applyFont="0" applyAlignment="0" applyProtection="0">
      <alignment horizontal="center"/>
      <protection locked="0"/>
    </xf>
    <xf numFmtId="200" fontId="70" fillId="0" borderId="0"/>
    <xf numFmtId="201" fontId="70" fillId="0" borderId="0"/>
    <xf numFmtId="0" fontId="71" fillId="36" borderId="0" applyNumberFormat="0" applyBorder="0" applyProtection="0"/>
    <xf numFmtId="0" fontId="72" fillId="37" borderId="0" applyNumberFormat="0"/>
    <xf numFmtId="0" fontId="73" fillId="4" borderId="0" applyNumberFormat="0" applyBorder="0" applyAlignment="0" applyProtection="0"/>
    <xf numFmtId="202" fontId="2" fillId="0" borderId="32" applyFont="0" applyFill="0" applyBorder="0" applyAlignment="0" applyProtection="0">
      <alignment horizontal="center"/>
    </xf>
    <xf numFmtId="202" fontId="2" fillId="0" borderId="32" applyFont="0" applyFill="0" applyBorder="0" applyAlignment="0" applyProtection="0">
      <alignment horizontal="center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203" fontId="39" fillId="0" borderId="0"/>
    <xf numFmtId="204" fontId="39" fillId="0" borderId="0"/>
    <xf numFmtId="205" fontId="74" fillId="0" borderId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3" fontId="2" fillId="38" borderId="0" applyFont="0" applyBorder="0" applyAlignment="0"/>
    <xf numFmtId="3" fontId="2" fillId="38" borderId="0" applyFont="0" applyBorder="0" applyAlignment="0"/>
    <xf numFmtId="199" fontId="75" fillId="39" borderId="0"/>
    <xf numFmtId="3" fontId="2" fillId="0" borderId="0"/>
    <xf numFmtId="3" fontId="2" fillId="0" borderId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" fontId="76" fillId="0" borderId="0" applyFont="0"/>
    <xf numFmtId="21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2" fontId="2" fillId="0" borderId="0"/>
    <xf numFmtId="212" fontId="2" fillId="0" borderId="0"/>
    <xf numFmtId="3" fontId="6" fillId="0" borderId="0"/>
    <xf numFmtId="2" fontId="77" fillId="40" borderId="0" applyNumberFormat="0" applyFont="0" applyBorder="0" applyAlignment="0" applyProtection="0"/>
    <xf numFmtId="3" fontId="6" fillId="0" borderId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19" fontId="2" fillId="0" borderId="0">
      <protection locked="0"/>
    </xf>
    <xf numFmtId="219" fontId="2" fillId="0" borderId="0">
      <protection locked="0"/>
    </xf>
    <xf numFmtId="220" fontId="2" fillId="0" borderId="0" applyFont="0" applyFill="0" applyBorder="0" applyProtection="0">
      <alignment horizontal="right"/>
    </xf>
    <xf numFmtId="221" fontId="2" fillId="0" borderId="0" applyFill="0" applyBorder="0" applyProtection="0">
      <alignment horizontal="right"/>
    </xf>
    <xf numFmtId="221" fontId="2" fillId="0" borderId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/>
    <xf numFmtId="222" fontId="2" fillId="0" borderId="0"/>
    <xf numFmtId="216" fontId="2" fillId="0" borderId="0"/>
    <xf numFmtId="216" fontId="2" fillId="0" borderId="0"/>
    <xf numFmtId="222" fontId="2" fillId="0" borderId="0"/>
    <xf numFmtId="222" fontId="2" fillId="0" borderId="0"/>
    <xf numFmtId="216" fontId="2" fillId="0" borderId="0"/>
    <xf numFmtId="216" fontId="2" fillId="0" borderId="0"/>
    <xf numFmtId="0" fontId="78" fillId="0" borderId="0" applyNumberFormat="0" applyFill="0" applyBorder="0" applyAlignment="0" applyProtection="0">
      <protection locked="0"/>
    </xf>
    <xf numFmtId="223" fontId="2" fillId="0" borderId="0">
      <alignment horizontal="center"/>
    </xf>
    <xf numFmtId="0" fontId="79" fillId="41" borderId="0" applyNumberFormat="0" applyBorder="0" applyAlignment="0" applyProtection="0"/>
    <xf numFmtId="3" fontId="49" fillId="31" borderId="46" applyNumberFormat="0">
      <alignment horizontal="right" vertical="center"/>
    </xf>
    <xf numFmtId="37" fontId="80" fillId="0" borderId="0"/>
    <xf numFmtId="37" fontId="80" fillId="0" borderId="0"/>
    <xf numFmtId="1" fontId="6" fillId="0" borderId="0"/>
    <xf numFmtId="224" fontId="2" fillId="0" borderId="0"/>
    <xf numFmtId="224" fontId="2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83" fillId="0" borderId="0" applyFill="0" applyBorder="0" applyAlignment="0" applyProtection="0"/>
    <xf numFmtId="0" fontId="2" fillId="0" borderId="0"/>
    <xf numFmtId="1" fontId="36" fillId="0" borderId="0" applyFont="0" applyFill="0" applyBorder="0" applyAlignment="0" applyProtection="0">
      <protection locked="0"/>
    </xf>
    <xf numFmtId="207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25" fontId="16" fillId="0" borderId="0"/>
    <xf numFmtId="37" fontId="2" fillId="42" borderId="30">
      <alignment horizontal="right"/>
    </xf>
    <xf numFmtId="40" fontId="2" fillId="23" borderId="0">
      <alignment horizontal="right"/>
    </xf>
    <xf numFmtId="40" fontId="2" fillId="23" borderId="0">
      <alignment horizontal="right"/>
    </xf>
    <xf numFmtId="0" fontId="2" fillId="23" borderId="34"/>
    <xf numFmtId="0" fontId="2" fillId="23" borderId="34"/>
    <xf numFmtId="1" fontId="39" fillId="0" borderId="30" applyFill="0" applyProtection="0">
      <alignment horizontal="center" vertical="top" wrapText="1"/>
    </xf>
    <xf numFmtId="1" fontId="39" fillId="0" borderId="30" applyFill="0" applyProtection="0">
      <alignment horizontal="center" vertical="top" wrapText="1"/>
    </xf>
    <xf numFmtId="37" fontId="17" fillId="0" borderId="0" applyBorder="0">
      <protection locked="0"/>
    </xf>
    <xf numFmtId="0" fontId="2" fillId="0" borderId="0" applyProtection="0">
      <alignment horizontal="left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84" fillId="0" borderId="0" applyProtection="0">
      <alignment horizontal="left"/>
    </xf>
    <xf numFmtId="0" fontId="54" fillId="0" borderId="0" applyNumberFormat="0" applyFill="0" applyBorder="0" applyProtection="0">
      <alignment horizontal="left"/>
    </xf>
    <xf numFmtId="226" fontId="2" fillId="0" borderId="0" applyFont="0" applyFill="0" applyBorder="0" applyAlignment="0"/>
    <xf numFmtId="226" fontId="2" fillId="0" borderId="0" applyFont="0" applyFill="0" applyBorder="0" applyAlignment="0"/>
    <xf numFmtId="227" fontId="2" fillId="0" borderId="0" applyFill="0" applyBorder="0"/>
    <xf numFmtId="227" fontId="2" fillId="0" borderId="0" applyFill="0" applyBorder="0"/>
    <xf numFmtId="168" fontId="2" fillId="0" borderId="0" applyFont="0" applyFill="0" applyBorder="0" applyAlignment="0" applyProtection="0"/>
    <xf numFmtId="14" fontId="12" fillId="0" borderId="0">
      <alignment horizontal="center" wrapText="1"/>
      <protection locked="0"/>
    </xf>
    <xf numFmtId="14" fontId="12" fillId="0" borderId="0">
      <alignment horizontal="center" wrapText="1"/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28" fontId="2" fillId="0" borderId="0" applyFont="0" applyFill="0" applyBorder="0" applyAlignment="0"/>
    <xf numFmtId="228" fontId="2" fillId="0" borderId="0" applyFont="0" applyFill="0" applyBorder="0" applyAlignment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190" fontId="2" fillId="0" borderId="0" applyFont="0" applyFill="0" applyBorder="0" applyProtection="0">
      <alignment horizontal="right"/>
    </xf>
    <xf numFmtId="229" fontId="34" fillId="0" borderId="0" applyFill="0" applyBorder="0">
      <alignment horizontal="right"/>
    </xf>
    <xf numFmtId="230" fontId="2" fillId="0" borderId="0"/>
    <xf numFmtId="230" fontId="2" fillId="0" borderId="0"/>
    <xf numFmtId="1" fontId="6" fillId="0" borderId="0"/>
    <xf numFmtId="194" fontId="2" fillId="0" borderId="0">
      <protection locked="0"/>
    </xf>
    <xf numFmtId="194" fontId="2" fillId="0" borderId="0">
      <protection locked="0"/>
    </xf>
    <xf numFmtId="228" fontId="2" fillId="0" borderId="0"/>
    <xf numFmtId="168" fontId="2" fillId="0" borderId="0"/>
    <xf numFmtId="168" fontId="2" fillId="0" borderId="0"/>
    <xf numFmtId="228" fontId="2" fillId="0" borderId="0"/>
    <xf numFmtId="172" fontId="2" fillId="0" borderId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231" fontId="2" fillId="0" borderId="0" applyFill="0" applyBorder="0">
      <alignment vertical="top"/>
    </xf>
    <xf numFmtId="232" fontId="2" fillId="0" borderId="0" applyFill="0" applyBorder="0">
      <alignment vertical="top"/>
    </xf>
    <xf numFmtId="232" fontId="2" fillId="0" borderId="0" applyFill="0" applyBorder="0">
      <alignment vertical="top"/>
    </xf>
    <xf numFmtId="231" fontId="2" fillId="0" borderId="0" applyFill="0" applyBorder="0">
      <alignment vertical="top"/>
    </xf>
    <xf numFmtId="231" fontId="2" fillId="0" borderId="0" applyFill="0" applyBorder="0">
      <alignment vertical="top"/>
    </xf>
    <xf numFmtId="0" fontId="36" fillId="42" borderId="30" applyNumberFormat="0" applyFont="0" applyAlignment="0" applyProtection="0"/>
    <xf numFmtId="216" fontId="2" fillId="42" borderId="0" applyNumberFormat="0" applyFont="0" applyBorder="0" applyAlignment="0" applyProtection="0">
      <alignment horizontal="center"/>
      <protection locked="0"/>
    </xf>
    <xf numFmtId="216" fontId="2" fillId="42" borderId="0" applyNumberFormat="0" applyFont="0" applyBorder="0" applyAlignment="0" applyProtection="0">
      <alignment horizontal="center"/>
      <protection locked="0"/>
    </xf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5" fillId="0" borderId="30">
      <alignment horizontal="center" vertical="center"/>
    </xf>
    <xf numFmtId="0" fontId="86" fillId="0" borderId="47" applyBorder="0">
      <alignment vertical="top"/>
      <protection locked="0"/>
    </xf>
    <xf numFmtId="38" fontId="2" fillId="0" borderId="0" applyFill="0" applyBorder="0">
      <alignment horizontal="center" vertical="top"/>
    </xf>
    <xf numFmtId="1" fontId="2" fillId="0" borderId="32" applyNumberFormat="0" applyFill="0" applyAlignment="0" applyProtection="0">
      <alignment horizontal="center" vertical="center"/>
    </xf>
    <xf numFmtId="1" fontId="2" fillId="0" borderId="32" applyNumberFormat="0" applyFill="0" applyAlignment="0" applyProtection="0">
      <alignment horizontal="center" vertical="center"/>
    </xf>
    <xf numFmtId="3" fontId="87" fillId="0" borderId="0" applyFill="0" applyBorder="0" applyProtection="0"/>
    <xf numFmtId="3" fontId="2" fillId="43" borderId="30"/>
    <xf numFmtId="234" fontId="2" fillId="0" borderId="0" applyProtection="0">
      <alignment horizontal="right"/>
    </xf>
    <xf numFmtId="234" fontId="2" fillId="0" borderId="0" applyProtection="0">
      <alignment horizontal="right"/>
    </xf>
    <xf numFmtId="3" fontId="2" fillId="43" borderId="30"/>
    <xf numFmtId="225" fontId="2" fillId="0" borderId="0" applyProtection="0">
      <alignment horizontal="right"/>
    </xf>
    <xf numFmtId="225" fontId="2" fillId="0" borderId="0" applyProtection="0">
      <alignment horizontal="right"/>
    </xf>
    <xf numFmtId="3" fontId="2" fillId="43" borderId="30"/>
    <xf numFmtId="37" fontId="2" fillId="0" borderId="0" applyNumberFormat="0" applyFill="0" applyBorder="0" applyAlignment="0" applyProtection="0"/>
    <xf numFmtId="37" fontId="2" fillId="0" borderId="0" applyNumberFormat="0" applyFill="0" applyBorder="0" applyAlignment="0" applyProtection="0"/>
    <xf numFmtId="1" fontId="88" fillId="0" borderId="0" applyNumberFormat="0" applyFill="0" applyBorder="0" applyAlignment="0" applyProtection="0"/>
    <xf numFmtId="0" fontId="36" fillId="0" borderId="0" applyNumberFormat="0" applyFill="0" applyBorder="0"/>
    <xf numFmtId="0" fontId="89" fillId="5" borderId="0" applyNumberFormat="0" applyBorder="0" applyAlignment="0" applyProtection="0"/>
    <xf numFmtId="235" fontId="2" fillId="0" borderId="0">
      <alignment horizontal="left"/>
    </xf>
    <xf numFmtId="235" fontId="2" fillId="0" borderId="0">
      <alignment horizontal="left"/>
    </xf>
    <xf numFmtId="0" fontId="2" fillId="44" borderId="0" applyNumberFormat="0"/>
    <xf numFmtId="0" fontId="2" fillId="44" borderId="0" applyNumberFormat="0"/>
    <xf numFmtId="189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45" borderId="0" applyNumberFormat="0" applyFont="0" applyBorder="0" applyAlignment="0" applyProtection="0"/>
    <xf numFmtId="0" fontId="2" fillId="45" borderId="0" applyNumberFormat="0" applyFont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236" fontId="45" fillId="30" borderId="40">
      <alignment horizontal="right"/>
    </xf>
    <xf numFmtId="0" fontId="90" fillId="25" borderId="48" applyNumberFormat="0" applyAlignment="0" applyProtection="0"/>
    <xf numFmtId="211" fontId="2" fillId="0" borderId="0">
      <alignment horizontal="left"/>
    </xf>
    <xf numFmtId="211" fontId="2" fillId="0" borderId="0">
      <alignment horizontal="left"/>
    </xf>
    <xf numFmtId="0" fontId="2" fillId="0" borderId="0"/>
    <xf numFmtId="0" fontId="2" fillId="0" borderId="0">
      <alignment vertical="center"/>
    </xf>
    <xf numFmtId="0" fontId="91" fillId="0" borderId="30">
      <alignment horizontal="center"/>
    </xf>
    <xf numFmtId="0" fontId="5" fillId="0" borderId="0"/>
    <xf numFmtId="0" fontId="10" fillId="0" borderId="0"/>
    <xf numFmtId="0" fontId="10" fillId="0" borderId="0"/>
    <xf numFmtId="0" fontId="91" fillId="0" borderId="30">
      <alignment horizontal="center"/>
    </xf>
    <xf numFmtId="0" fontId="91" fillId="0" borderId="0">
      <alignment horizontal="center" vertical="center"/>
    </xf>
    <xf numFmtId="0" fontId="91" fillId="0" borderId="0">
      <alignment horizontal="center" vertical="center"/>
    </xf>
    <xf numFmtId="0" fontId="92" fillId="46" borderId="0" applyNumberFormat="0" applyFill="0">
      <alignment horizontal="left" vertical="center"/>
    </xf>
    <xf numFmtId="0" fontId="92" fillId="46" borderId="0" applyNumberFormat="0" applyFill="0">
      <alignment horizontal="left" vertical="center"/>
    </xf>
    <xf numFmtId="3" fontId="93" fillId="0" borderId="0" applyNumberFormat="0" applyAlignment="0">
      <alignment horizontal="right"/>
    </xf>
    <xf numFmtId="3" fontId="93" fillId="0" borderId="0" applyNumberFormat="0" applyAlignment="0">
      <alignment horizontal="right"/>
    </xf>
    <xf numFmtId="0" fontId="2" fillId="44" borderId="0" applyNumberFormat="0" applyFont="0" applyBorder="0" applyAlignment="0" applyProtection="0">
      <protection locked="0"/>
    </xf>
    <xf numFmtId="0" fontId="2" fillId="44" borderId="0" applyNumberFormat="0" applyFont="0" applyBorder="0" applyAlignment="0" applyProtection="0">
      <protection locked="0"/>
    </xf>
    <xf numFmtId="0" fontId="36" fillId="42" borderId="0" applyNumberFormat="0" applyFont="0" applyBorder="0" applyAlignment="0" applyProtection="0"/>
    <xf numFmtId="0" fontId="94" fillId="0" borderId="0" applyFill="0" applyBorder="0" applyProtection="0">
      <alignment horizontal="center" vertical="center"/>
    </xf>
    <xf numFmtId="0" fontId="95" fillId="0" borderId="0" applyNumberFormat="0" applyFill="0" applyBorder="0" applyProtection="0">
      <alignment horizontal="left"/>
    </xf>
    <xf numFmtId="0" fontId="48" fillId="0" borderId="0" applyNumberFormat="0" applyFill="0" applyBorder="0" applyProtection="0">
      <alignment horizontal="left"/>
    </xf>
    <xf numFmtId="0" fontId="94" fillId="0" borderId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4" fillId="0" borderId="0" applyNumberFormat="0" applyFill="0" applyBorder="0" applyProtection="0"/>
    <xf numFmtId="0" fontId="48" fillId="0" borderId="0" applyNumberFormat="0" applyFill="0" applyBorder="0" applyProtection="0"/>
    <xf numFmtId="0" fontId="16" fillId="23" borderId="40" applyNumberFormat="0" applyFont="0" applyFill="0" applyAlignment="0" applyProtection="0">
      <protection locked="0"/>
    </xf>
    <xf numFmtId="0" fontId="16" fillId="23" borderId="49" applyNumberFormat="0" applyFont="0" applyFill="0" applyAlignment="0" applyProtection="0">
      <protection locked="0"/>
    </xf>
    <xf numFmtId="0" fontId="71" fillId="36" borderId="0" applyNumberFormat="0" applyBorder="0" applyProtection="0"/>
    <xf numFmtId="0" fontId="36" fillId="0" borderId="0" applyNumberFormat="0" applyFill="0" applyBorder="0" applyAlignment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6" fillId="0" borderId="0" applyNumberFormat="0" applyFill="0" applyBorder="0" applyProtection="0"/>
    <xf numFmtId="0" fontId="96" fillId="0" borderId="0"/>
    <xf numFmtId="0" fontId="98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37" fontId="99" fillId="0" borderId="0" applyFont="0" applyFill="0" applyBorder="0" applyAlignment="0"/>
    <xf numFmtId="238" fontId="99" fillId="0" borderId="0" applyFont="0" applyFill="0" applyBorder="0" applyAlignment="0"/>
    <xf numFmtId="239" fontId="2" fillId="0" borderId="0" applyFont="0" applyFill="0" applyBorder="0" applyAlignment="0"/>
    <xf numFmtId="18" fontId="2" fillId="23" borderId="0" applyFont="0" applyFill="0" applyBorder="0" applyAlignment="0" applyProtection="0">
      <protection locked="0"/>
    </xf>
    <xf numFmtId="18" fontId="2" fillId="23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2" fillId="0" borderId="0"/>
    <xf numFmtId="0" fontId="2" fillId="0" borderId="0"/>
    <xf numFmtId="0" fontId="2" fillId="0" borderId="0"/>
    <xf numFmtId="0" fontId="100" fillId="0" borderId="0">
      <alignment vertical="center"/>
    </xf>
    <xf numFmtId="0" fontId="52" fillId="0" borderId="0">
      <alignment vertical="center"/>
    </xf>
    <xf numFmtId="0" fontId="101" fillId="0" borderId="0" applyNumberFormat="0" applyFill="0" applyBorder="0" applyAlignment="0" applyProtection="0"/>
    <xf numFmtId="0" fontId="102" fillId="0" borderId="50" applyNumberFormat="0" applyFill="0" applyAlignment="0" applyProtection="0"/>
    <xf numFmtId="0" fontId="103" fillId="0" borderId="51" applyNumberFormat="0" applyFill="0" applyAlignment="0" applyProtection="0"/>
    <xf numFmtId="0" fontId="104" fillId="0" borderId="52" applyNumberFormat="0" applyFill="0" applyAlignment="0" applyProtection="0"/>
    <xf numFmtId="0" fontId="104" fillId="0" borderId="0" applyNumberFormat="0" applyFill="0" applyBorder="0" applyAlignment="0" applyProtection="0"/>
    <xf numFmtId="0" fontId="105" fillId="0" borderId="0">
      <alignment vertical="center"/>
    </xf>
    <xf numFmtId="0" fontId="105" fillId="0" borderId="0">
      <alignment vertical="center"/>
    </xf>
    <xf numFmtId="1" fontId="39" fillId="0" borderId="32" applyNumberFormat="0" applyFill="0" applyProtection="0">
      <alignment horizontal="left" vertical="center"/>
    </xf>
    <xf numFmtId="1" fontId="39" fillId="0" borderId="32" applyNumberFormat="0" applyFill="0" applyProtection="0">
      <alignment horizontal="left" vertical="center"/>
    </xf>
    <xf numFmtId="0" fontId="106" fillId="0" borderId="0" applyFill="0" applyBorder="0" applyAlignment="0" applyProtection="0">
      <protection locked="0"/>
    </xf>
    <xf numFmtId="0" fontId="106" fillId="0" borderId="0" applyFill="0" applyBorder="0" applyAlignment="0" applyProtection="0">
      <protection locked="0"/>
    </xf>
    <xf numFmtId="0" fontId="107" fillId="0" borderId="0" applyNumberFormat="0" applyBorder="0" applyAlignment="0">
      <alignment horizontal="right"/>
    </xf>
    <xf numFmtId="0" fontId="107" fillId="0" borderId="0" applyNumberFormat="0" applyBorder="0" applyAlignment="0">
      <alignment horizontal="right"/>
    </xf>
    <xf numFmtId="37" fontId="2" fillId="47" borderId="30">
      <alignment horizontal="right"/>
    </xf>
    <xf numFmtId="37" fontId="2" fillId="47" borderId="30">
      <alignment horizontal="right"/>
    </xf>
    <xf numFmtId="3" fontId="2" fillId="48" borderId="30"/>
    <xf numFmtId="0" fontId="97" fillId="0" borderId="0"/>
    <xf numFmtId="0" fontId="96" fillId="0" borderId="0"/>
    <xf numFmtId="164" fontId="71" fillId="49" borderId="0" applyNumberFormat="0" applyProtection="0"/>
    <xf numFmtId="0" fontId="108" fillId="0" borderId="53" applyNumberFormat="0" applyFill="0" applyAlignment="0" applyProtection="0"/>
    <xf numFmtId="20" fontId="19" fillId="0" borderId="0"/>
    <xf numFmtId="20" fontId="19" fillId="0" borderId="0"/>
    <xf numFmtId="0" fontId="71" fillId="36" borderId="0" applyNumberFormat="0" applyBorder="0" applyProtection="0"/>
    <xf numFmtId="0" fontId="2" fillId="0" borderId="0" applyNumberFormat="0" applyFont="0" applyFill="0"/>
    <xf numFmtId="0" fontId="2" fillId="0" borderId="0" applyNumberFormat="0" applyFont="0" applyFill="0"/>
    <xf numFmtId="37" fontId="17" fillId="42" borderId="0" applyNumberFormat="0" applyBorder="0" applyAlignment="0" applyProtection="0"/>
    <xf numFmtId="37" fontId="17" fillId="42" borderId="0" applyNumberFormat="0" applyBorder="0" applyAlignment="0" applyProtection="0"/>
    <xf numFmtId="37" fontId="17" fillId="0" borderId="0"/>
    <xf numFmtId="37" fontId="17" fillId="0" borderId="0"/>
    <xf numFmtId="37" fontId="17" fillId="17" borderId="0" applyNumberFormat="0" applyBorder="0" applyAlignment="0" applyProtection="0"/>
    <xf numFmtId="3" fontId="2" fillId="0" borderId="54" applyProtection="0"/>
    <xf numFmtId="3" fontId="2" fillId="0" borderId="54" applyProtection="0"/>
    <xf numFmtId="240" fontId="2" fillId="0" borderId="0" applyFont="0" applyFill="0" applyBorder="0" applyAlignment="0" applyProtection="0"/>
    <xf numFmtId="180" fontId="109" fillId="0" borderId="0" applyFont="0" applyFill="0" applyBorder="0" applyAlignment="0" applyProtection="0"/>
    <xf numFmtId="241" fontId="2" fillId="0" borderId="0" applyFont="0" applyFill="0" applyBorder="0" applyAlignment="0" applyProtection="0"/>
    <xf numFmtId="0" fontId="110" fillId="50" borderId="55" applyNumberFormat="0" applyAlignment="0" applyProtection="0"/>
    <xf numFmtId="0" fontId="25" fillId="0" borderId="0" applyNumberFormat="0" applyFill="0" applyBorder="0" applyAlignment="0" applyProtection="0"/>
    <xf numFmtId="1" fontId="111" fillId="0" borderId="32" applyNumberFormat="0" applyFill="0" applyAlignment="0" applyProtection="0">
      <alignment horizontal="left"/>
    </xf>
    <xf numFmtId="1" fontId="111" fillId="0" borderId="32" applyNumberFormat="0" applyFill="0" applyAlignment="0" applyProtection="0">
      <alignment horizontal="left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180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42" fontId="8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34" applyBorder="0"/>
    <xf numFmtId="0" fontId="2" fillId="0" borderId="34" applyBorder="0"/>
    <xf numFmtId="0" fontId="36" fillId="23" borderId="0" applyNumberFormat="0" applyFont="0" applyAlignment="0" applyProtection="0"/>
    <xf numFmtId="0" fontId="36" fillId="23" borderId="40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2" fillId="0" borderId="0" applyFont="0" applyFill="0" applyBorder="0" applyProtection="0">
      <alignment horizontal="right"/>
    </xf>
    <xf numFmtId="183" fontId="2" fillId="0" borderId="0" applyFont="0" applyFill="0" applyBorder="0" applyProtection="0">
      <alignment horizontal="right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43" fontId="112" fillId="0" borderId="0" applyFont="0" applyFill="0" applyBorder="0" applyAlignment="0" applyProtection="0"/>
    <xf numFmtId="0" fontId="2" fillId="0" borderId="0"/>
    <xf numFmtId="207" fontId="2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2" fillId="0" borderId="0"/>
    <xf numFmtId="206" fontId="2" fillId="0" borderId="0" applyFont="0" applyFill="0" applyBorder="0" applyAlignment="0" applyProtection="0"/>
    <xf numFmtId="180" fontId="2" fillId="0" borderId="0" applyFont="0" applyFill="0" applyBorder="0" applyAlignment="0" applyProtection="0"/>
  </cellStyleXfs>
  <cellXfs count="626">
    <xf numFmtId="0" fontId="0" fillId="0" borderId="0" xfId="0"/>
    <xf numFmtId="0" fontId="115" fillId="0" borderId="0" xfId="0" applyFont="1" applyAlignment="1">
      <alignment vertical="center"/>
    </xf>
    <xf numFmtId="0" fontId="116" fillId="0" borderId="63" xfId="0" applyFont="1" applyBorder="1" applyAlignment="1">
      <alignment vertical="center"/>
    </xf>
    <xf numFmtId="0" fontId="116" fillId="0" borderId="64" xfId="0" applyFont="1" applyBorder="1" applyAlignment="1">
      <alignment vertical="center"/>
    </xf>
    <xf numFmtId="0" fontId="116" fillId="0" borderId="65" xfId="0" applyFont="1" applyFill="1" applyBorder="1" applyAlignment="1">
      <alignment vertical="center"/>
    </xf>
    <xf numFmtId="0" fontId="116" fillId="0" borderId="0" xfId="0" applyNumberFormat="1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6" fillId="0" borderId="0" xfId="0" applyNumberFormat="1" applyFont="1" applyFill="1" applyAlignment="1">
      <alignment horizontal="left" vertical="center"/>
    </xf>
    <xf numFmtId="0" fontId="117" fillId="0" borderId="0" xfId="0" applyFont="1" applyFill="1" applyBorder="1" applyAlignment="1">
      <alignment horizontal="center" vertical="center"/>
    </xf>
    <xf numFmtId="0" fontId="117" fillId="0" borderId="0" xfId="0" applyFont="1" applyFill="1" applyAlignment="1">
      <alignment horizontal="center" vertical="center"/>
    </xf>
    <xf numFmtId="0" fontId="115" fillId="0" borderId="0" xfId="0" applyNumberFormat="1" applyFont="1" applyAlignment="1">
      <alignment horizontal="left" vertical="center"/>
    </xf>
    <xf numFmtId="10" fontId="115" fillId="0" borderId="8" xfId="2" applyNumberFormat="1" applyFont="1" applyBorder="1" applyAlignment="1">
      <alignment horizontal="center" vertical="center"/>
    </xf>
    <xf numFmtId="10" fontId="115" fillId="0" borderId="69" xfId="2" applyNumberFormat="1" applyFont="1" applyBorder="1" applyAlignment="1">
      <alignment horizontal="center" vertical="center"/>
    </xf>
    <xf numFmtId="0" fontId="115" fillId="0" borderId="70" xfId="0" applyFont="1" applyBorder="1" applyAlignment="1">
      <alignment horizontal="center" vertical="center"/>
    </xf>
    <xf numFmtId="0" fontId="115" fillId="0" borderId="71" xfId="0" applyFont="1" applyBorder="1" applyAlignment="1">
      <alignment horizontal="center" vertical="center"/>
    </xf>
    <xf numFmtId="9" fontId="115" fillId="0" borderId="8" xfId="2" applyFont="1" applyBorder="1" applyAlignment="1">
      <alignment horizontal="center" vertical="center"/>
    </xf>
    <xf numFmtId="9" fontId="115" fillId="0" borderId="69" xfId="2" applyFont="1" applyBorder="1" applyAlignment="1">
      <alignment horizontal="center" vertical="center"/>
    </xf>
    <xf numFmtId="245" fontId="115" fillId="0" borderId="0" xfId="2" applyNumberFormat="1" applyFont="1" applyBorder="1" applyAlignment="1">
      <alignment horizontal="center" vertical="center"/>
    </xf>
    <xf numFmtId="9" fontId="115" fillId="0" borderId="0" xfId="2" applyFont="1" applyBorder="1" applyAlignment="1">
      <alignment horizontal="center" vertical="center"/>
    </xf>
    <xf numFmtId="0" fontId="115" fillId="0" borderId="0" xfId="0" applyFont="1" applyBorder="1" applyAlignment="1">
      <alignment horizontal="center" vertical="center"/>
    </xf>
    <xf numFmtId="0" fontId="118" fillId="0" borderId="0" xfId="0" applyNumberFormat="1" applyFont="1" applyAlignment="1">
      <alignment horizontal="left" vertical="center"/>
    </xf>
    <xf numFmtId="1" fontId="115" fillId="0" borderId="0" xfId="0" applyNumberFormat="1" applyFont="1" applyBorder="1" applyAlignment="1">
      <alignment horizontal="center" vertical="center"/>
    </xf>
    <xf numFmtId="1" fontId="115" fillId="0" borderId="0" xfId="0" applyNumberFormat="1" applyFont="1" applyAlignment="1">
      <alignment horizontal="center" vertical="center"/>
    </xf>
    <xf numFmtId="0" fontId="115" fillId="0" borderId="0" xfId="0" applyNumberFormat="1" applyFont="1" applyAlignment="1">
      <alignment horizontal="center" vertical="center"/>
    </xf>
    <xf numFmtId="2" fontId="115" fillId="0" borderId="8" xfId="1" applyNumberFormat="1" applyFont="1" applyBorder="1" applyAlignment="1">
      <alignment horizontal="center" vertical="center"/>
    </xf>
    <xf numFmtId="2" fontId="115" fillId="0" borderId="69" xfId="1" applyNumberFormat="1" applyFont="1" applyBorder="1" applyAlignment="1">
      <alignment horizontal="center" vertical="center"/>
    </xf>
    <xf numFmtId="2" fontId="115" fillId="0" borderId="72" xfId="1" applyNumberFormat="1" applyFont="1" applyBorder="1" applyAlignment="1">
      <alignment horizontal="center" vertical="center"/>
    </xf>
    <xf numFmtId="0" fontId="115" fillId="0" borderId="0" xfId="1" applyNumberFormat="1" applyFont="1" applyAlignment="1">
      <alignment horizontal="center" vertical="center"/>
    </xf>
    <xf numFmtId="0" fontId="115" fillId="0" borderId="0" xfId="1" applyNumberFormat="1" applyFont="1" applyAlignment="1">
      <alignment horizontal="left" vertical="center"/>
    </xf>
    <xf numFmtId="165" fontId="115" fillId="0" borderId="8" xfId="1" applyNumberFormat="1" applyFont="1" applyBorder="1" applyAlignment="1">
      <alignment horizontal="center" vertical="center"/>
    </xf>
    <xf numFmtId="165" fontId="115" fillId="0" borderId="69" xfId="1" applyNumberFormat="1" applyFont="1" applyBorder="1" applyAlignment="1">
      <alignment horizontal="center" vertical="center"/>
    </xf>
    <xf numFmtId="0" fontId="115" fillId="0" borderId="70" xfId="1" applyNumberFormat="1" applyFont="1" applyBorder="1" applyAlignment="1">
      <alignment horizontal="center" vertical="center"/>
    </xf>
    <xf numFmtId="0" fontId="115" fillId="0" borderId="71" xfId="1" applyNumberFormat="1" applyFont="1" applyBorder="1" applyAlignment="1">
      <alignment horizontal="center" vertical="center"/>
    </xf>
    <xf numFmtId="9" fontId="115" fillId="0" borderId="72" xfId="2" applyFont="1" applyBorder="1" applyAlignment="1">
      <alignment horizontal="center" vertical="center"/>
    </xf>
    <xf numFmtId="9" fontId="115" fillId="0" borderId="8" xfId="0" applyNumberFormat="1" applyFont="1" applyBorder="1" applyAlignment="1">
      <alignment horizontal="center" vertical="center"/>
    </xf>
    <xf numFmtId="9" fontId="115" fillId="0" borderId="69" xfId="0" applyNumberFormat="1" applyFont="1" applyBorder="1" applyAlignment="1">
      <alignment horizontal="center" vertical="center"/>
    </xf>
    <xf numFmtId="9" fontId="115" fillId="0" borderId="72" xfId="0" applyNumberFormat="1" applyFont="1" applyBorder="1" applyAlignment="1">
      <alignment horizontal="center" vertical="center"/>
    </xf>
    <xf numFmtId="0" fontId="115" fillId="0" borderId="0" xfId="0" applyFont="1" applyBorder="1" applyAlignment="1">
      <alignment vertical="center"/>
    </xf>
    <xf numFmtId="0" fontId="119" fillId="0" borderId="0" xfId="0" applyNumberFormat="1" applyFont="1" applyAlignment="1">
      <alignment horizontal="left" vertical="center"/>
    </xf>
    <xf numFmtId="0" fontId="115" fillId="0" borderId="0" xfId="0" applyNumberFormat="1" applyFont="1" applyFill="1" applyBorder="1" applyAlignment="1">
      <alignment horizontal="left" vertical="center"/>
    </xf>
    <xf numFmtId="0" fontId="115" fillId="0" borderId="0" xfId="0" applyFont="1" applyAlignment="1">
      <alignment horizontal="left" vertical="center"/>
    </xf>
    <xf numFmtId="165" fontId="115" fillId="0" borderId="0" xfId="1" applyNumberFormat="1" applyFont="1" applyAlignment="1">
      <alignment vertical="center"/>
    </xf>
    <xf numFmtId="0" fontId="115" fillId="0" borderId="0" xfId="1" applyNumberFormat="1" applyFont="1" applyAlignment="1">
      <alignment vertical="center"/>
    </xf>
    <xf numFmtId="0" fontId="115" fillId="0" borderId="0" xfId="1" applyNumberFormat="1" applyFont="1" applyFill="1" applyBorder="1" applyAlignment="1">
      <alignment horizontal="left" vertical="center"/>
    </xf>
    <xf numFmtId="0" fontId="115" fillId="0" borderId="8" xfId="0" applyFont="1" applyBorder="1" applyAlignment="1">
      <alignment vertical="center"/>
    </xf>
    <xf numFmtId="0" fontId="115" fillId="0" borderId="69" xfId="0" applyFont="1" applyBorder="1" applyAlignment="1">
      <alignment vertical="center"/>
    </xf>
    <xf numFmtId="0" fontId="115" fillId="0" borderId="72" xfId="0" applyFont="1" applyBorder="1" applyAlignment="1">
      <alignment vertical="center"/>
    </xf>
    <xf numFmtId="44" fontId="115" fillId="0" borderId="0" xfId="6" applyFont="1" applyAlignment="1">
      <alignment vertical="center"/>
    </xf>
    <xf numFmtId="44" fontId="115" fillId="0" borderId="0" xfId="6" applyFont="1" applyAlignment="1">
      <alignment horizontal="left" vertical="center"/>
    </xf>
    <xf numFmtId="44" fontId="115" fillId="0" borderId="0" xfId="6" applyFont="1" applyBorder="1" applyAlignment="1">
      <alignment vertical="center"/>
    </xf>
    <xf numFmtId="0" fontId="120" fillId="0" borderId="0" xfId="0" applyNumberFormat="1" applyFont="1" applyAlignment="1">
      <alignment horizontal="left" vertical="center"/>
    </xf>
    <xf numFmtId="9" fontId="115" fillId="0" borderId="0" xfId="2" applyFont="1" applyAlignment="1">
      <alignment horizontal="center" vertical="center"/>
    </xf>
    <xf numFmtId="9" fontId="115" fillId="0" borderId="0" xfId="2" applyFont="1" applyAlignment="1">
      <alignment horizontal="left" vertical="center"/>
    </xf>
    <xf numFmtId="0" fontId="116" fillId="0" borderId="0" xfId="0" applyNumberFormat="1" applyFont="1" applyAlignment="1">
      <alignment horizontal="left"/>
    </xf>
    <xf numFmtId="0" fontId="118" fillId="0" borderId="57" xfId="0" applyNumberFormat="1" applyFont="1" applyBorder="1" applyAlignment="1">
      <alignment horizontal="center" vertical="center" wrapText="1"/>
    </xf>
    <xf numFmtId="0" fontId="117" fillId="0" borderId="0" xfId="0" applyFont="1" applyAlignment="1">
      <alignment horizontal="center"/>
    </xf>
    <xf numFmtId="0" fontId="115" fillId="0" borderId="58" xfId="0" applyNumberFormat="1" applyFont="1" applyFill="1" applyBorder="1" applyAlignment="1">
      <alignment horizontal="center" vertical="center"/>
    </xf>
    <xf numFmtId="0" fontId="115" fillId="0" borderId="0" xfId="0" applyNumberFormat="1" applyFont="1" applyFill="1" applyAlignment="1">
      <alignment horizontal="center"/>
    </xf>
    <xf numFmtId="9" fontId="115" fillId="0" borderId="22" xfId="2" applyFont="1" applyBorder="1" applyAlignment="1">
      <alignment horizontal="center"/>
    </xf>
    <xf numFmtId="9" fontId="115" fillId="0" borderId="23" xfId="2" applyFont="1" applyBorder="1" applyAlignment="1">
      <alignment horizontal="center"/>
    </xf>
    <xf numFmtId="9" fontId="115" fillId="0" borderId="24" xfId="2" applyFont="1" applyBorder="1" applyAlignment="1">
      <alignment horizontal="center"/>
    </xf>
    <xf numFmtId="0" fontId="121" fillId="0" borderId="0" xfId="2" applyNumberFormat="1" applyFont="1" applyFill="1" applyAlignment="1">
      <alignment horizontal="left"/>
    </xf>
    <xf numFmtId="0" fontId="115" fillId="0" borderId="2" xfId="0" applyNumberFormat="1" applyFont="1" applyFill="1" applyBorder="1" applyAlignment="1">
      <alignment horizontal="center" vertical="center"/>
    </xf>
    <xf numFmtId="0" fontId="2" fillId="0" borderId="0" xfId="2" applyNumberFormat="1" applyFont="1" applyFill="1" applyAlignment="1">
      <alignment horizontal="center"/>
    </xf>
    <xf numFmtId="10" fontId="115" fillId="0" borderId="22" xfId="2" applyNumberFormat="1" applyFont="1" applyBorder="1" applyAlignment="1">
      <alignment horizontal="center" vertical="center"/>
    </xf>
    <xf numFmtId="10" fontId="115" fillId="0" borderId="23" xfId="2" applyNumberFormat="1" applyFont="1" applyBorder="1" applyAlignment="1">
      <alignment horizontal="center" vertical="center"/>
    </xf>
    <xf numFmtId="10" fontId="115" fillId="0" borderId="24" xfId="2" applyNumberFormat="1" applyFont="1" applyBorder="1" applyAlignment="1">
      <alignment horizontal="center" vertical="center"/>
    </xf>
    <xf numFmtId="0" fontId="115" fillId="0" borderId="0" xfId="0" applyFont="1"/>
    <xf numFmtId="0" fontId="115" fillId="0" borderId="0" xfId="2" applyNumberFormat="1" applyFont="1" applyAlignment="1">
      <alignment horizontal="center" vertical="center"/>
    </xf>
    <xf numFmtId="10" fontId="115" fillId="0" borderId="0" xfId="2" applyNumberFormat="1" applyFont="1" applyFill="1" applyAlignment="1">
      <alignment horizontal="center" vertical="center"/>
    </xf>
    <xf numFmtId="10" fontId="115" fillId="0" borderId="0" xfId="2" applyNumberFormat="1" applyFont="1" applyAlignment="1">
      <alignment horizontal="center" vertical="center"/>
    </xf>
    <xf numFmtId="0" fontId="115" fillId="0" borderId="2" xfId="1" applyNumberFormat="1" applyFont="1" applyBorder="1" applyAlignment="1">
      <alignment horizontal="center" vertical="center"/>
    </xf>
    <xf numFmtId="10" fontId="115" fillId="0" borderId="56" xfId="2" applyNumberFormat="1" applyFont="1" applyBorder="1" applyAlignment="1">
      <alignment horizontal="center" vertical="center"/>
    </xf>
    <xf numFmtId="10" fontId="115" fillId="0" borderId="60" xfId="2" applyNumberFormat="1" applyFont="1" applyBorder="1" applyAlignment="1">
      <alignment horizontal="center" vertical="center"/>
    </xf>
    <xf numFmtId="164" fontId="115" fillId="0" borderId="22" xfId="2" applyNumberFormat="1" applyFont="1" applyBorder="1" applyAlignment="1">
      <alignment horizontal="center" vertical="center"/>
    </xf>
    <xf numFmtId="164" fontId="115" fillId="0" borderId="23" xfId="2" applyNumberFormat="1" applyFont="1" applyBorder="1" applyAlignment="1">
      <alignment horizontal="center" vertical="center"/>
    </xf>
    <xf numFmtId="164" fontId="115" fillId="0" borderId="24" xfId="2" applyNumberFormat="1" applyFont="1" applyBorder="1" applyAlignment="1">
      <alignment horizontal="center" vertical="center"/>
    </xf>
    <xf numFmtId="0" fontId="115" fillId="0" borderId="0" xfId="1" applyNumberFormat="1" applyFont="1"/>
    <xf numFmtId="43" fontId="115" fillId="0" borderId="0" xfId="1" applyFont="1" applyFill="1" applyAlignment="1">
      <alignment horizontal="center" vertical="center"/>
    </xf>
    <xf numFmtId="43" fontId="115" fillId="0" borderId="22" xfId="1" applyFont="1" applyBorder="1" applyAlignment="1">
      <alignment horizontal="center" vertical="center"/>
    </xf>
    <xf numFmtId="43" fontId="115" fillId="0" borderId="23" xfId="1" applyFont="1" applyBorder="1" applyAlignment="1">
      <alignment horizontal="center" vertical="center"/>
    </xf>
    <xf numFmtId="43" fontId="115" fillId="0" borderId="24" xfId="1" applyFont="1" applyBorder="1" applyAlignment="1">
      <alignment horizontal="center" vertical="center"/>
    </xf>
    <xf numFmtId="43" fontId="115" fillId="0" borderId="0" xfId="1" applyFont="1" applyAlignment="1">
      <alignment horizontal="center" vertical="center"/>
    </xf>
    <xf numFmtId="0" fontId="116" fillId="0" borderId="0" xfId="0" applyFont="1"/>
    <xf numFmtId="43" fontId="115" fillId="0" borderId="22" xfId="1" applyFont="1" applyBorder="1" applyAlignment="1">
      <alignment horizontal="center"/>
    </xf>
    <xf numFmtId="43" fontId="115" fillId="0" borderId="23" xfId="1" applyFont="1" applyBorder="1" applyAlignment="1">
      <alignment horizontal="center"/>
    </xf>
    <xf numFmtId="43" fontId="115" fillId="0" borderId="24" xfId="1" applyFont="1" applyBorder="1" applyAlignment="1">
      <alignment horizontal="center"/>
    </xf>
    <xf numFmtId="43" fontId="115" fillId="0" borderId="22" xfId="1" applyFont="1" applyBorder="1"/>
    <xf numFmtId="43" fontId="115" fillId="0" borderId="23" xfId="1" applyFont="1" applyBorder="1"/>
    <xf numFmtId="43" fontId="115" fillId="0" borderId="24" xfId="1" applyFont="1" applyBorder="1"/>
    <xf numFmtId="43" fontId="115" fillId="0" borderId="11" xfId="1" applyFont="1" applyBorder="1"/>
    <xf numFmtId="43" fontId="115" fillId="0" borderId="12" xfId="1" applyFont="1" applyBorder="1"/>
    <xf numFmtId="2" fontId="115" fillId="0" borderId="0" xfId="0" applyNumberFormat="1" applyFont="1"/>
    <xf numFmtId="43" fontId="115" fillId="0" borderId="61" xfId="1" applyFont="1" applyBorder="1"/>
    <xf numFmtId="43" fontId="115" fillId="0" borderId="29" xfId="1" applyFont="1" applyBorder="1"/>
    <xf numFmtId="0" fontId="122" fillId="0" borderId="0" xfId="0" applyNumberFormat="1" applyFont="1" applyAlignment="1">
      <alignment horizontal="left" vertical="center"/>
    </xf>
    <xf numFmtId="0" fontId="116" fillId="0" borderId="0" xfId="0" applyFont="1" applyAlignment="1">
      <alignment horizontal="left" vertical="center"/>
    </xf>
    <xf numFmtId="0" fontId="123" fillId="51" borderId="72" xfId="0" applyNumberFormat="1" applyFont="1" applyFill="1" applyBorder="1" applyAlignment="1">
      <alignment horizontal="left" vertical="center"/>
    </xf>
    <xf numFmtId="0" fontId="123" fillId="51" borderId="72" xfId="1" applyNumberFormat="1" applyFont="1" applyFill="1" applyBorder="1" applyAlignment="1">
      <alignment horizontal="left" vertical="center"/>
    </xf>
    <xf numFmtId="0" fontId="116" fillId="0" borderId="73" xfId="0" applyFont="1" applyBorder="1" applyAlignment="1">
      <alignment horizontal="left" vertical="center"/>
    </xf>
    <xf numFmtId="44" fontId="116" fillId="0" borderId="73" xfId="6" applyFont="1" applyBorder="1" applyAlignment="1">
      <alignment horizontal="left" vertical="center"/>
    </xf>
    <xf numFmtId="9" fontId="116" fillId="0" borderId="73" xfId="2" applyFont="1" applyBorder="1" applyAlignment="1">
      <alignment horizontal="left" vertical="center"/>
    </xf>
    <xf numFmtId="0" fontId="118" fillId="0" borderId="62" xfId="0" applyFont="1" applyBorder="1" applyAlignment="1">
      <alignment horizontal="center" vertical="center"/>
    </xf>
    <xf numFmtId="0" fontId="117" fillId="0" borderId="31" xfId="0" applyFont="1" applyBorder="1" applyAlignment="1">
      <alignment horizontal="center" vertical="center"/>
    </xf>
    <xf numFmtId="0" fontId="117" fillId="0" borderId="67" xfId="0" applyFont="1" applyBorder="1" applyAlignment="1">
      <alignment horizontal="center" vertical="center"/>
    </xf>
    <xf numFmtId="0" fontId="116" fillId="0" borderId="31" xfId="0" applyNumberFormat="1" applyFont="1" applyBorder="1" applyAlignment="1">
      <alignment horizontal="left" vertical="center"/>
    </xf>
    <xf numFmtId="169" fontId="115" fillId="0" borderId="22" xfId="6" applyNumberFormat="1" applyFont="1" applyBorder="1" applyAlignment="1">
      <alignment horizontal="center" vertical="center"/>
    </xf>
    <xf numFmtId="169" fontId="115" fillId="0" borderId="23" xfId="6" applyNumberFormat="1" applyFont="1" applyBorder="1" applyAlignment="1">
      <alignment horizontal="center" vertical="center"/>
    </xf>
    <xf numFmtId="165" fontId="115" fillId="0" borderId="27" xfId="1" applyNumberFormat="1" applyFont="1" applyBorder="1" applyAlignment="1">
      <alignment horizontal="center" vertical="center"/>
    </xf>
    <xf numFmtId="165" fontId="115" fillId="0" borderId="26" xfId="1" applyNumberFormat="1" applyFont="1" applyBorder="1" applyAlignment="1">
      <alignment horizontal="center" vertical="center"/>
    </xf>
    <xf numFmtId="169" fontId="115" fillId="0" borderId="27" xfId="6" applyNumberFormat="1" applyFont="1" applyBorder="1" applyAlignment="1">
      <alignment horizontal="center" vertical="center"/>
    </xf>
    <xf numFmtId="165" fontId="115" fillId="0" borderId="0" xfId="1" applyNumberFormat="1" applyFont="1"/>
    <xf numFmtId="9" fontId="115" fillId="0" borderId="8" xfId="2" applyFont="1" applyFill="1" applyBorder="1" applyAlignment="1">
      <alignment horizontal="center"/>
    </xf>
    <xf numFmtId="9" fontId="115" fillId="0" borderId="69" xfId="2" applyFont="1" applyFill="1" applyBorder="1" applyAlignment="1">
      <alignment horizontal="center"/>
    </xf>
    <xf numFmtId="10" fontId="123" fillId="51" borderId="72" xfId="2" applyNumberFormat="1" applyFont="1" applyFill="1" applyBorder="1" applyAlignment="1">
      <alignment horizontal="left" vertical="center"/>
    </xf>
    <xf numFmtId="10" fontId="115" fillId="0" borderId="0" xfId="2" applyNumberFormat="1" applyFont="1" applyAlignment="1">
      <alignment vertical="center"/>
    </xf>
    <xf numFmtId="10" fontId="115" fillId="0" borderId="0" xfId="2" applyNumberFormat="1" applyFont="1" applyFill="1" applyBorder="1" applyAlignment="1">
      <alignment horizontal="left" vertical="center"/>
    </xf>
    <xf numFmtId="10" fontId="115" fillId="0" borderId="72" xfId="2" applyNumberFormat="1" applyFont="1" applyBorder="1" applyAlignment="1">
      <alignment horizontal="center" vertical="center"/>
    </xf>
    <xf numFmtId="164" fontId="115" fillId="0" borderId="8" xfId="2" applyNumberFormat="1" applyFont="1" applyBorder="1" applyAlignment="1">
      <alignment horizontal="center" vertical="center"/>
    </xf>
    <xf numFmtId="164" fontId="115" fillId="0" borderId="69" xfId="2" applyNumberFormat="1" applyFont="1" applyBorder="1" applyAlignment="1">
      <alignment horizontal="center" vertical="center"/>
    </xf>
    <xf numFmtId="164" fontId="115" fillId="0" borderId="72" xfId="2" applyNumberFormat="1" applyFont="1" applyBorder="1" applyAlignment="1">
      <alignment horizontal="center" vertical="center"/>
    </xf>
    <xf numFmtId="10" fontId="115" fillId="0" borderId="82" xfId="2" applyNumberFormat="1" applyFont="1" applyBorder="1" applyAlignment="1">
      <alignment horizontal="center" vertical="center"/>
    </xf>
    <xf numFmtId="10" fontId="115" fillId="0" borderId="83" xfId="2" applyNumberFormat="1" applyFont="1" applyBorder="1" applyAlignment="1">
      <alignment horizontal="center" vertical="center"/>
    </xf>
    <xf numFmtId="0" fontId="115" fillId="0" borderId="84" xfId="0" applyFont="1" applyBorder="1" applyAlignment="1">
      <alignment horizontal="center" vertical="center"/>
    </xf>
    <xf numFmtId="0" fontId="115" fillId="0" borderId="85" xfId="0" applyFont="1" applyBorder="1" applyAlignment="1">
      <alignment horizontal="center" vertical="center"/>
    </xf>
    <xf numFmtId="10" fontId="117" fillId="51" borderId="8" xfId="2" applyNumberFormat="1" applyFont="1" applyFill="1" applyBorder="1" applyAlignment="1">
      <alignment horizontal="center" vertical="center"/>
    </xf>
    <xf numFmtId="10" fontId="117" fillId="51" borderId="69" xfId="2" applyNumberFormat="1" applyFont="1" applyFill="1" applyBorder="1" applyAlignment="1">
      <alignment horizontal="center" vertical="center"/>
    </xf>
    <xf numFmtId="10" fontId="117" fillId="51" borderId="91" xfId="2" applyNumberFormat="1" applyFont="1" applyFill="1" applyBorder="1" applyAlignment="1">
      <alignment horizontal="center" vertical="center"/>
    </xf>
    <xf numFmtId="10" fontId="117" fillId="51" borderId="92" xfId="2" applyNumberFormat="1" applyFont="1" applyFill="1" applyBorder="1" applyAlignment="1">
      <alignment horizontal="center" vertical="center"/>
    </xf>
    <xf numFmtId="2" fontId="117" fillId="51" borderId="8" xfId="1" applyNumberFormat="1" applyFont="1" applyFill="1" applyBorder="1" applyAlignment="1">
      <alignment horizontal="center" vertical="center"/>
    </xf>
    <xf numFmtId="2" fontId="117" fillId="51" borderId="69" xfId="1" applyNumberFormat="1" applyFont="1" applyFill="1" applyBorder="1" applyAlignment="1">
      <alignment horizontal="center" vertical="center"/>
    </xf>
    <xf numFmtId="2" fontId="117" fillId="51" borderId="72" xfId="1" applyNumberFormat="1" applyFont="1" applyFill="1" applyBorder="1" applyAlignment="1">
      <alignment horizontal="center" vertical="center"/>
    </xf>
    <xf numFmtId="165" fontId="117" fillId="51" borderId="8" xfId="1" applyNumberFormat="1" applyFont="1" applyFill="1" applyBorder="1" applyAlignment="1">
      <alignment horizontal="center" vertical="center"/>
    </xf>
    <xf numFmtId="165" fontId="117" fillId="51" borderId="69" xfId="1" applyNumberFormat="1" applyFont="1" applyFill="1" applyBorder="1" applyAlignment="1">
      <alignment horizontal="center" vertical="center"/>
    </xf>
    <xf numFmtId="0" fontId="117" fillId="51" borderId="91" xfId="1" applyNumberFormat="1" applyFont="1" applyFill="1" applyBorder="1" applyAlignment="1">
      <alignment horizontal="center" vertical="center"/>
    </xf>
    <xf numFmtId="0" fontId="117" fillId="51" borderId="92" xfId="1" applyNumberFormat="1" applyFont="1" applyFill="1" applyBorder="1" applyAlignment="1">
      <alignment horizontal="center" vertical="center"/>
    </xf>
    <xf numFmtId="0" fontId="117" fillId="0" borderId="70" xfId="1" applyNumberFormat="1" applyFont="1" applyBorder="1" applyAlignment="1">
      <alignment horizontal="center" vertical="center"/>
    </xf>
    <xf numFmtId="0" fontId="117" fillId="0" borderId="71" xfId="1" applyNumberFormat="1" applyFont="1" applyBorder="1" applyAlignment="1">
      <alignment horizontal="center" vertical="center"/>
    </xf>
    <xf numFmtId="9" fontId="117" fillId="51" borderId="8" xfId="2" applyFont="1" applyFill="1" applyBorder="1" applyAlignment="1">
      <alignment horizontal="center"/>
    </xf>
    <xf numFmtId="9" fontId="117" fillId="51" borderId="69" xfId="2" applyFont="1" applyFill="1" applyBorder="1" applyAlignment="1">
      <alignment horizontal="center"/>
    </xf>
    <xf numFmtId="9" fontId="117" fillId="51" borderId="8" xfId="2" applyFont="1" applyFill="1" applyBorder="1" applyAlignment="1">
      <alignment horizontal="center" vertical="center"/>
    </xf>
    <xf numFmtId="9" fontId="117" fillId="51" borderId="69" xfId="2" applyFont="1" applyFill="1" applyBorder="1" applyAlignment="1">
      <alignment horizontal="center" vertical="center"/>
    </xf>
    <xf numFmtId="9" fontId="117" fillId="51" borderId="72" xfId="2" applyFont="1" applyFill="1" applyBorder="1" applyAlignment="1">
      <alignment horizontal="center" vertical="center"/>
    </xf>
    <xf numFmtId="169" fontId="115" fillId="0" borderId="10" xfId="6" applyNumberFormat="1" applyFont="1" applyBorder="1" applyAlignment="1">
      <alignment horizontal="center" vertical="center"/>
    </xf>
    <xf numFmtId="169" fontId="115" fillId="0" borderId="11" xfId="6" applyNumberFormat="1" applyFont="1" applyBorder="1" applyAlignment="1">
      <alignment horizontal="center" vertical="center"/>
    </xf>
    <xf numFmtId="169" fontId="115" fillId="0" borderId="93" xfId="6" applyNumberFormat="1" applyFont="1" applyBorder="1" applyAlignment="1">
      <alignment horizontal="center" vertical="center"/>
    </xf>
    <xf numFmtId="165" fontId="115" fillId="0" borderId="93" xfId="1" applyNumberFormat="1" applyFont="1" applyBorder="1" applyAlignment="1">
      <alignment horizontal="center" vertical="center"/>
    </xf>
    <xf numFmtId="165" fontId="115" fillId="0" borderId="94" xfId="1" applyNumberFormat="1" applyFont="1" applyBorder="1" applyAlignment="1">
      <alignment horizontal="center" vertical="center"/>
    </xf>
    <xf numFmtId="169" fontId="115" fillId="0" borderId="8" xfId="6" applyNumberFormat="1" applyFont="1" applyBorder="1" applyAlignment="1">
      <alignment horizontal="center" vertical="center"/>
    </xf>
    <xf numFmtId="169" fontId="115" fillId="0" borderId="69" xfId="6" applyNumberFormat="1" applyFont="1" applyBorder="1" applyAlignment="1">
      <alignment horizontal="center" vertical="center"/>
    </xf>
    <xf numFmtId="169" fontId="115" fillId="0" borderId="70" xfId="6" applyNumberFormat="1" applyFont="1" applyBorder="1" applyAlignment="1">
      <alignment horizontal="center" vertical="center"/>
    </xf>
    <xf numFmtId="165" fontId="115" fillId="0" borderId="70" xfId="1" applyNumberFormat="1" applyFont="1" applyBorder="1" applyAlignment="1">
      <alignment horizontal="center" vertical="center"/>
    </xf>
    <xf numFmtId="165" fontId="115" fillId="0" borderId="71" xfId="1" applyNumberFormat="1" applyFont="1" applyBorder="1" applyAlignment="1">
      <alignment horizontal="center" vertical="center"/>
    </xf>
    <xf numFmtId="10" fontId="117" fillId="51" borderId="72" xfId="2" applyNumberFormat="1" applyFont="1" applyFill="1" applyBorder="1" applyAlignment="1">
      <alignment horizontal="center" vertical="center"/>
    </xf>
    <xf numFmtId="169" fontId="117" fillId="51" borderId="95" xfId="6" applyNumberFormat="1" applyFont="1" applyFill="1" applyBorder="1" applyAlignment="1">
      <alignment horizontal="center" vertical="center"/>
    </xf>
    <xf numFmtId="169" fontId="117" fillId="51" borderId="96" xfId="6" applyNumberFormat="1" applyFont="1" applyFill="1" applyBorder="1" applyAlignment="1">
      <alignment horizontal="center" vertical="center"/>
    </xf>
    <xf numFmtId="169" fontId="115" fillId="51" borderId="97" xfId="6" applyNumberFormat="1" applyFont="1" applyFill="1" applyBorder="1" applyAlignment="1">
      <alignment horizontal="center" vertical="center"/>
    </xf>
    <xf numFmtId="165" fontId="115" fillId="51" borderId="97" xfId="1" applyNumberFormat="1" applyFont="1" applyFill="1" applyBorder="1" applyAlignment="1">
      <alignment horizontal="center" vertical="center"/>
    </xf>
    <xf numFmtId="165" fontId="115" fillId="51" borderId="98" xfId="1" applyNumberFormat="1" applyFont="1" applyFill="1" applyBorder="1" applyAlignment="1">
      <alignment horizontal="center" vertical="center"/>
    </xf>
    <xf numFmtId="165" fontId="115" fillId="51" borderId="99" xfId="1" applyNumberFormat="1" applyFont="1" applyFill="1" applyBorder="1" applyAlignment="1">
      <alignment horizontal="center" vertical="center"/>
    </xf>
    <xf numFmtId="165" fontId="115" fillId="51" borderId="100" xfId="1" applyNumberFormat="1" applyFont="1" applyFill="1" applyBorder="1" applyAlignment="1">
      <alignment horizontal="center" vertical="center"/>
    </xf>
    <xf numFmtId="0" fontId="123" fillId="51" borderId="69" xfId="0" applyNumberFormat="1" applyFont="1" applyFill="1" applyBorder="1" applyAlignment="1">
      <alignment horizontal="left" vertical="center"/>
    </xf>
    <xf numFmtId="9" fontId="123" fillId="51" borderId="69" xfId="2" applyFont="1" applyFill="1" applyBorder="1" applyAlignment="1">
      <alignment horizontal="left" vertical="center"/>
    </xf>
    <xf numFmtId="0" fontId="115" fillId="0" borderId="83" xfId="0" applyFont="1" applyBorder="1" applyAlignment="1">
      <alignment vertical="center"/>
    </xf>
    <xf numFmtId="169" fontId="115" fillId="0" borderId="75" xfId="6" applyNumberFormat="1" applyFont="1" applyBorder="1" applyAlignment="1">
      <alignment horizontal="center" vertical="center"/>
    </xf>
    <xf numFmtId="169" fontId="115" fillId="0" borderId="3" xfId="6" applyNumberFormat="1" applyFont="1" applyBorder="1" applyAlignment="1">
      <alignment horizontal="center" vertical="center"/>
    </xf>
    <xf numFmtId="165" fontId="115" fillId="0" borderId="87" xfId="1" applyNumberFormat="1" applyFont="1" applyBorder="1" applyAlignment="1">
      <alignment horizontal="center" vertical="center"/>
    </xf>
    <xf numFmtId="165" fontId="115" fillId="0" borderId="88" xfId="1" applyNumberFormat="1" applyFont="1" applyBorder="1" applyAlignment="1">
      <alignment horizontal="center" vertical="center"/>
    </xf>
    <xf numFmtId="169" fontId="117" fillId="52" borderId="20" xfId="6" applyNumberFormat="1" applyFont="1" applyFill="1" applyBorder="1" applyAlignment="1">
      <alignment horizontal="center" vertical="center"/>
    </xf>
    <xf numFmtId="1" fontId="115" fillId="0" borderId="86" xfId="0" applyNumberFormat="1" applyFont="1" applyBorder="1" applyAlignment="1">
      <alignment horizontal="center" vertical="center"/>
    </xf>
    <xf numFmtId="169" fontId="117" fillId="51" borderId="2" xfId="6" applyNumberFormat="1" applyFont="1" applyFill="1" applyBorder="1" applyAlignment="1">
      <alignment horizontal="center" vertical="center"/>
    </xf>
    <xf numFmtId="169" fontId="115" fillId="0" borderId="58" xfId="6" applyNumberFormat="1" applyFont="1" applyBorder="1" applyAlignment="1">
      <alignment horizontal="center" vertical="center"/>
    </xf>
    <xf numFmtId="169" fontId="115" fillId="0" borderId="81" xfId="6" applyNumberFormat="1" applyFont="1" applyBorder="1" applyAlignment="1">
      <alignment horizontal="center" vertical="center"/>
    </xf>
    <xf numFmtId="43" fontId="115" fillId="52" borderId="19" xfId="1" applyFont="1" applyFill="1" applyBorder="1"/>
    <xf numFmtId="43" fontId="115" fillId="52" borderId="20" xfId="1" applyFont="1" applyFill="1" applyBorder="1"/>
    <xf numFmtId="43" fontId="115" fillId="52" borderId="21" xfId="1" applyFont="1" applyFill="1" applyBorder="1"/>
    <xf numFmtId="9" fontId="115" fillId="0" borderId="3" xfId="2" applyFont="1" applyBorder="1" applyAlignment="1">
      <alignment horizontal="center" vertical="center"/>
    </xf>
    <xf numFmtId="164" fontId="117" fillId="0" borderId="2" xfId="2" applyNumberFormat="1" applyFont="1" applyBorder="1" applyAlignment="1">
      <alignment horizontal="center" vertical="center"/>
    </xf>
    <xf numFmtId="9" fontId="115" fillId="0" borderId="0" xfId="2" applyFont="1" applyAlignment="1">
      <alignment vertical="center"/>
    </xf>
    <xf numFmtId="0" fontId="115" fillId="0" borderId="102" xfId="0" applyNumberFormat="1" applyFont="1" applyBorder="1" applyAlignment="1">
      <alignment horizontal="center" vertical="center" wrapText="1"/>
    </xf>
    <xf numFmtId="0" fontId="115" fillId="0" borderId="2" xfId="0" applyNumberFormat="1" applyFont="1" applyBorder="1" applyAlignment="1">
      <alignment horizontal="center" vertical="center" wrapText="1"/>
    </xf>
    <xf numFmtId="0" fontId="115" fillId="0" borderId="0" xfId="0" applyNumberFormat="1" applyFont="1" applyBorder="1" applyAlignment="1">
      <alignment horizontal="left" vertical="center"/>
    </xf>
    <xf numFmtId="169" fontId="115" fillId="0" borderId="0" xfId="6" applyNumberFormat="1" applyFont="1" applyBorder="1" applyAlignment="1">
      <alignment horizontal="center" vertical="center"/>
    </xf>
    <xf numFmtId="165" fontId="115" fillId="0" borderId="0" xfId="1" applyNumberFormat="1" applyFont="1" applyBorder="1" applyAlignment="1">
      <alignment horizontal="center" vertical="center"/>
    </xf>
    <xf numFmtId="169" fontId="117" fillId="52" borderId="104" xfId="6" applyNumberFormat="1" applyFont="1" applyFill="1" applyBorder="1" applyAlignment="1">
      <alignment horizontal="center" vertical="center"/>
    </xf>
    <xf numFmtId="165" fontId="117" fillId="52" borderId="20" xfId="1" applyNumberFormat="1" applyFont="1" applyFill="1" applyBorder="1" applyAlignment="1">
      <alignment horizontal="center" vertical="center"/>
    </xf>
    <xf numFmtId="165" fontId="117" fillId="52" borderId="21" xfId="1" applyNumberFormat="1" applyFont="1" applyFill="1" applyBorder="1" applyAlignment="1">
      <alignment horizontal="center" vertical="center"/>
    </xf>
    <xf numFmtId="165" fontId="115" fillId="0" borderId="3" xfId="1" applyNumberFormat="1" applyFont="1" applyBorder="1" applyAlignment="1">
      <alignment horizontal="center" vertical="center"/>
    </xf>
    <xf numFmtId="169" fontId="117" fillId="51" borderId="3" xfId="6" applyNumberFormat="1" applyFont="1" applyFill="1" applyBorder="1" applyAlignment="1">
      <alignment horizontal="center" vertical="center"/>
    </xf>
    <xf numFmtId="169" fontId="117" fillId="51" borderId="101" xfId="6" applyNumberFormat="1" applyFont="1" applyFill="1" applyBorder="1" applyAlignment="1">
      <alignment horizontal="center" vertical="center"/>
    </xf>
    <xf numFmtId="169" fontId="115" fillId="0" borderId="105" xfId="6" applyNumberFormat="1" applyFont="1" applyBorder="1" applyAlignment="1">
      <alignment vertical="center"/>
    </xf>
    <xf numFmtId="169" fontId="115" fillId="0" borderId="106" xfId="6" applyNumberFormat="1" applyFont="1" applyBorder="1" applyAlignment="1">
      <alignment vertical="center"/>
    </xf>
    <xf numFmtId="169" fontId="115" fillId="0" borderId="107" xfId="6" applyNumberFormat="1" applyFont="1" applyBorder="1" applyAlignment="1">
      <alignment vertical="center"/>
    </xf>
    <xf numFmtId="9" fontId="117" fillId="0" borderId="2" xfId="2" applyFont="1" applyFill="1" applyBorder="1" applyAlignment="1">
      <alignment horizontal="center" vertical="center"/>
    </xf>
    <xf numFmtId="0" fontId="123" fillId="0" borderId="0" xfId="0" applyNumberFormat="1" applyFont="1" applyAlignment="1">
      <alignment horizontal="left" vertical="center"/>
    </xf>
    <xf numFmtId="169" fontId="115" fillId="0" borderId="105" xfId="6" applyNumberFormat="1" applyFont="1" applyBorder="1" applyAlignment="1">
      <alignment horizontal="center" vertical="center"/>
    </xf>
    <xf numFmtId="169" fontId="115" fillId="0" borderId="106" xfId="6" applyNumberFormat="1" applyFont="1" applyBorder="1" applyAlignment="1">
      <alignment horizontal="center" vertical="center"/>
    </xf>
    <xf numFmtId="169" fontId="115" fillId="0" borderId="107" xfId="6" applyNumberFormat="1" applyFont="1" applyBorder="1" applyAlignment="1">
      <alignment horizontal="center" vertical="center"/>
    </xf>
    <xf numFmtId="9" fontId="117" fillId="0" borderId="69" xfId="2" applyFont="1" applyBorder="1" applyAlignment="1">
      <alignment horizontal="center" vertical="center"/>
    </xf>
    <xf numFmtId="9" fontId="117" fillId="0" borderId="72" xfId="2" applyFont="1" applyBorder="1" applyAlignment="1">
      <alignment horizontal="center" vertical="center"/>
    </xf>
    <xf numFmtId="0" fontId="123" fillId="0" borderId="0" xfId="0" applyFont="1" applyAlignment="1">
      <alignment vertical="center"/>
    </xf>
    <xf numFmtId="0" fontId="115" fillId="0" borderId="0" xfId="0" applyFont="1" applyAlignment="1">
      <alignment horizontal="center" vertical="center"/>
    </xf>
    <xf numFmtId="248" fontId="115" fillId="0" borderId="0" xfId="0" applyNumberFormat="1" applyFont="1"/>
    <xf numFmtId="246" fontId="115" fillId="0" borderId="0" xfId="1" applyNumberFormat="1" applyFont="1"/>
    <xf numFmtId="247" fontId="115" fillId="0" borderId="0" xfId="1" applyNumberFormat="1" applyFont="1"/>
    <xf numFmtId="169" fontId="117" fillId="52" borderId="108" xfId="6" applyNumberFormat="1" applyFont="1" applyFill="1" applyBorder="1" applyAlignment="1">
      <alignment horizontal="center" vertical="center"/>
    </xf>
    <xf numFmtId="169" fontId="117" fillId="52" borderId="109" xfId="6" applyNumberFormat="1" applyFont="1" applyFill="1" applyBorder="1" applyAlignment="1">
      <alignment horizontal="center" vertical="center"/>
    </xf>
    <xf numFmtId="44" fontId="117" fillId="52" borderId="109" xfId="6" applyFont="1" applyFill="1" applyBorder="1" applyAlignment="1">
      <alignment horizontal="center" vertical="center"/>
    </xf>
    <xf numFmtId="44" fontId="117" fillId="52" borderId="110" xfId="6" applyFont="1" applyFill="1" applyBorder="1" applyAlignment="1">
      <alignment horizontal="center" vertical="center"/>
    </xf>
    <xf numFmtId="0" fontId="117" fillId="0" borderId="72" xfId="0" applyFont="1" applyFill="1" applyBorder="1" applyAlignment="1">
      <alignment horizontal="center" vertical="center"/>
    </xf>
    <xf numFmtId="9" fontId="117" fillId="0" borderId="0" xfId="2" applyFont="1" applyFill="1" applyBorder="1" applyAlignment="1">
      <alignment horizontal="center" vertical="center"/>
    </xf>
    <xf numFmtId="0" fontId="117" fillId="0" borderId="69" xfId="1" applyNumberFormat="1" applyFont="1" applyBorder="1" applyAlignment="1">
      <alignment horizontal="center" vertical="center"/>
    </xf>
    <xf numFmtId="9" fontId="115" fillId="0" borderId="0" xfId="2" applyFont="1" applyFill="1" applyBorder="1" applyAlignment="1">
      <alignment horizontal="center"/>
    </xf>
    <xf numFmtId="0" fontId="115" fillId="0" borderId="0" xfId="1" applyNumberFormat="1" applyFont="1" applyBorder="1" applyAlignment="1">
      <alignment horizontal="center" vertical="center"/>
    </xf>
    <xf numFmtId="165" fontId="117" fillId="0" borderId="0" xfId="1" applyNumberFormat="1" applyFont="1" applyFill="1" applyBorder="1" applyAlignment="1">
      <alignment horizontal="center" vertical="center"/>
    </xf>
    <xf numFmtId="0" fontId="115" fillId="0" borderId="0" xfId="0" applyFont="1" applyBorder="1" applyAlignment="1">
      <alignment horizontal="left" vertical="center"/>
    </xf>
    <xf numFmtId="0" fontId="115" fillId="0" borderId="0" xfId="1" applyNumberFormat="1" applyFont="1" applyBorder="1" applyAlignment="1">
      <alignment horizontal="left" vertical="center"/>
    </xf>
    <xf numFmtId="165" fontId="115" fillId="0" borderId="0" xfId="1" applyNumberFormat="1" applyFont="1" applyBorder="1"/>
    <xf numFmtId="1" fontId="115" fillId="0" borderId="0" xfId="0" applyNumberFormat="1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vertical="center"/>
    </xf>
    <xf numFmtId="0" fontId="123" fillId="0" borderId="83" xfId="0" applyNumberFormat="1" applyFont="1" applyFill="1" applyBorder="1" applyAlignment="1">
      <alignment horizontal="left" vertical="center"/>
    </xf>
    <xf numFmtId="164" fontId="117" fillId="0" borderId="83" xfId="2" applyNumberFormat="1" applyFont="1" applyBorder="1" applyAlignment="1">
      <alignment horizontal="center" vertical="center"/>
    </xf>
    <xf numFmtId="0" fontId="123" fillId="0" borderId="111" xfId="0" applyNumberFormat="1" applyFont="1" applyFill="1" applyBorder="1" applyAlignment="1">
      <alignment horizontal="left" vertical="center"/>
    </xf>
    <xf numFmtId="9" fontId="115" fillId="0" borderId="86" xfId="2" applyFont="1" applyBorder="1" applyAlignment="1">
      <alignment horizontal="center" vertical="center"/>
    </xf>
    <xf numFmtId="0" fontId="123" fillId="0" borderId="83" xfId="1" applyNumberFormat="1" applyFont="1" applyBorder="1" applyAlignment="1">
      <alignment horizontal="left" vertical="center"/>
    </xf>
    <xf numFmtId="9" fontId="115" fillId="0" borderId="83" xfId="2" applyFont="1" applyBorder="1" applyAlignment="1">
      <alignment horizontal="center" vertical="center"/>
    </xf>
    <xf numFmtId="0" fontId="116" fillId="0" borderId="76" xfId="0" applyFont="1" applyBorder="1" applyAlignment="1">
      <alignment horizontal="left" vertical="center"/>
    </xf>
    <xf numFmtId="9" fontId="117" fillId="0" borderId="3" xfId="2" applyFont="1" applyBorder="1" applyAlignment="1">
      <alignment horizontal="center" vertical="center"/>
    </xf>
    <xf numFmtId="9" fontId="115" fillId="0" borderId="22" xfId="2" applyFont="1" applyBorder="1" applyAlignment="1">
      <alignment horizontal="center" vertical="center"/>
    </xf>
    <xf numFmtId="9" fontId="115" fillId="0" borderId="23" xfId="2" applyFont="1" applyBorder="1" applyAlignment="1">
      <alignment horizontal="center" vertical="center"/>
    </xf>
    <xf numFmtId="9" fontId="115" fillId="0" borderId="24" xfId="2" applyFont="1" applyBorder="1" applyAlignment="1">
      <alignment horizontal="center" vertical="center"/>
    </xf>
    <xf numFmtId="10" fontId="117" fillId="0" borderId="22" xfId="2" applyNumberFormat="1" applyFont="1" applyBorder="1" applyAlignment="1">
      <alignment horizontal="center" vertical="center"/>
    </xf>
    <xf numFmtId="10" fontId="117" fillId="0" borderId="23" xfId="2" applyNumberFormat="1" applyFont="1" applyBorder="1" applyAlignment="1">
      <alignment horizontal="center" vertical="center"/>
    </xf>
    <xf numFmtId="10" fontId="117" fillId="0" borderId="24" xfId="2" applyNumberFormat="1" applyFont="1" applyBorder="1" applyAlignment="1">
      <alignment horizontal="center" vertical="center"/>
    </xf>
    <xf numFmtId="0" fontId="123" fillId="0" borderId="0" xfId="0" applyNumberFormat="1" applyFont="1" applyFill="1" applyBorder="1" applyAlignment="1">
      <alignment horizontal="left" vertical="center"/>
    </xf>
    <xf numFmtId="169" fontId="117" fillId="0" borderId="0" xfId="6" applyNumberFormat="1" applyFont="1" applyFill="1" applyBorder="1" applyAlignment="1">
      <alignment horizontal="center" vertical="center"/>
    </xf>
    <xf numFmtId="169" fontId="117" fillId="0" borderId="6" xfId="6" applyNumberFormat="1" applyFont="1" applyFill="1" applyBorder="1" applyAlignment="1">
      <alignment horizontal="center" vertical="center"/>
    </xf>
    <xf numFmtId="169" fontId="115" fillId="0" borderId="2" xfId="6" applyNumberFormat="1" applyFont="1" applyFill="1" applyBorder="1" applyAlignment="1">
      <alignment horizontal="center" vertical="center"/>
    </xf>
    <xf numFmtId="44" fontId="117" fillId="0" borderId="72" xfId="6" applyFont="1" applyBorder="1" applyAlignment="1">
      <alignment horizontal="center" vertical="center"/>
    </xf>
    <xf numFmtId="0" fontId="123" fillId="0" borderId="0" xfId="0" applyFont="1" applyFill="1" applyBorder="1" applyAlignment="1">
      <alignment horizontal="left" vertical="center"/>
    </xf>
    <xf numFmtId="0" fontId="123" fillId="0" borderId="0" xfId="1" applyNumberFormat="1" applyFont="1" applyFill="1" applyBorder="1" applyAlignment="1">
      <alignment horizontal="left" vertical="center"/>
    </xf>
    <xf numFmtId="0" fontId="117" fillId="0" borderId="93" xfId="1" applyNumberFormat="1" applyFont="1" applyFill="1" applyBorder="1" applyAlignment="1">
      <alignment horizontal="center" vertical="center"/>
    </xf>
    <xf numFmtId="0" fontId="117" fillId="0" borderId="70" xfId="1" applyNumberFormat="1" applyFont="1" applyFill="1" applyBorder="1" applyAlignment="1">
      <alignment horizontal="center" vertical="center"/>
    </xf>
    <xf numFmtId="0" fontId="117" fillId="0" borderId="71" xfId="1" applyNumberFormat="1" applyFont="1" applyFill="1" applyBorder="1" applyAlignment="1">
      <alignment horizontal="center" vertical="center"/>
    </xf>
    <xf numFmtId="0" fontId="117" fillId="0" borderId="112" xfId="1" applyNumberFormat="1" applyFont="1" applyFill="1" applyBorder="1" applyAlignment="1">
      <alignment horizontal="center" vertical="center"/>
    </xf>
    <xf numFmtId="0" fontId="117" fillId="51" borderId="99" xfId="1" applyNumberFormat="1" applyFont="1" applyFill="1" applyBorder="1" applyAlignment="1">
      <alignment horizontal="center" vertical="center"/>
    </xf>
    <xf numFmtId="0" fontId="117" fillId="51" borderId="100" xfId="1" applyNumberFormat="1" applyFont="1" applyFill="1" applyBorder="1" applyAlignment="1">
      <alignment horizontal="center" vertical="center"/>
    </xf>
    <xf numFmtId="165" fontId="115" fillId="0" borderId="10" xfId="1" applyNumberFormat="1" applyFont="1" applyFill="1" applyBorder="1" applyAlignment="1">
      <alignment horizontal="center" vertical="center"/>
    </xf>
    <xf numFmtId="165" fontId="115" fillId="0" borderId="11" xfId="1" applyNumberFormat="1" applyFont="1" applyFill="1" applyBorder="1" applyAlignment="1">
      <alignment horizontal="center" vertical="center"/>
    </xf>
    <xf numFmtId="0" fontId="115" fillId="0" borderId="93" xfId="1" applyNumberFormat="1" applyFont="1" applyFill="1" applyBorder="1" applyAlignment="1">
      <alignment horizontal="center" vertical="center"/>
    </xf>
    <xf numFmtId="165" fontId="117" fillId="51" borderId="95" xfId="1" applyNumberFormat="1" applyFont="1" applyFill="1" applyBorder="1" applyAlignment="1">
      <alignment horizontal="center" vertical="center"/>
    </xf>
    <xf numFmtId="165" fontId="117" fillId="51" borderId="96" xfId="1" applyNumberFormat="1" applyFont="1" applyFill="1" applyBorder="1" applyAlignment="1">
      <alignment horizontal="center" vertical="center"/>
    </xf>
    <xf numFmtId="0" fontId="115" fillId="0" borderId="0" xfId="0" applyFont="1" applyBorder="1"/>
    <xf numFmtId="0" fontId="116" fillId="0" borderId="0" xfId="0" applyNumberFormat="1" applyFont="1" applyBorder="1" applyAlignment="1">
      <alignment horizontal="left"/>
    </xf>
    <xf numFmtId="0" fontId="121" fillId="0" borderId="0" xfId="2" applyNumberFormat="1" applyFont="1" applyFill="1" applyBorder="1" applyAlignment="1">
      <alignment horizontal="left"/>
    </xf>
    <xf numFmtId="0" fontId="121" fillId="0" borderId="0" xfId="1" applyNumberFormat="1" applyFont="1" applyFill="1" applyBorder="1" applyAlignment="1">
      <alignment horizontal="left" vertical="top"/>
    </xf>
    <xf numFmtId="0" fontId="116" fillId="0" borderId="0" xfId="0" applyFont="1" applyBorder="1"/>
    <xf numFmtId="2" fontId="115" fillId="0" borderId="2" xfId="0" applyNumberFormat="1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/>
    </xf>
    <xf numFmtId="0" fontId="115" fillId="0" borderId="0" xfId="0" applyFont="1" applyAlignment="1">
      <alignment horizontal="center"/>
    </xf>
    <xf numFmtId="2" fontId="116" fillId="0" borderId="0" xfId="0" applyNumberFormat="1" applyFont="1" applyAlignment="1">
      <alignment horizontal="left" vertical="center"/>
    </xf>
    <xf numFmtId="2" fontId="116" fillId="0" borderId="0" xfId="0" applyNumberFormat="1" applyFont="1" applyAlignment="1">
      <alignment horizontal="center" vertical="center"/>
    </xf>
    <xf numFmtId="1" fontId="117" fillId="0" borderId="0" xfId="0" applyNumberFormat="1" applyFont="1" applyAlignment="1">
      <alignment horizontal="center" vertical="center"/>
    </xf>
    <xf numFmtId="1" fontId="117" fillId="0" borderId="0" xfId="0" applyNumberFormat="1" applyFont="1" applyBorder="1" applyAlignment="1">
      <alignment horizontal="center" vertical="center"/>
    </xf>
    <xf numFmtId="2" fontId="115" fillId="0" borderId="22" xfId="0" applyNumberFormat="1" applyFont="1" applyBorder="1" applyAlignment="1">
      <alignment horizontal="center" vertical="center"/>
    </xf>
    <xf numFmtId="2" fontId="115" fillId="0" borderId="23" xfId="0" applyNumberFormat="1" applyFont="1" applyBorder="1" applyAlignment="1">
      <alignment horizontal="center" vertical="center"/>
    </xf>
    <xf numFmtId="2" fontId="115" fillId="0" borderId="24" xfId="0" applyNumberFormat="1" applyFont="1" applyBorder="1" applyAlignment="1">
      <alignment horizontal="center" vertical="center"/>
    </xf>
    <xf numFmtId="0" fontId="115" fillId="0" borderId="28" xfId="0" applyFont="1" applyBorder="1" applyAlignment="1">
      <alignment horizontal="center"/>
    </xf>
    <xf numFmtId="169" fontId="115" fillId="0" borderId="22" xfId="6" applyNumberFormat="1" applyFont="1" applyBorder="1" applyAlignment="1">
      <alignment horizontal="center"/>
    </xf>
    <xf numFmtId="169" fontId="115" fillId="0" borderId="23" xfId="6" applyNumberFormat="1" applyFont="1" applyBorder="1" applyAlignment="1">
      <alignment horizontal="center"/>
    </xf>
    <xf numFmtId="169" fontId="115" fillId="0" borderId="24" xfId="6" applyNumberFormat="1" applyFont="1" applyBorder="1" applyAlignment="1">
      <alignment horizontal="center"/>
    </xf>
    <xf numFmtId="0" fontId="116" fillId="0" borderId="0" xfId="0" applyFont="1" applyAlignment="1">
      <alignment horizontal="center"/>
    </xf>
    <xf numFmtId="0" fontId="115" fillId="0" borderId="0" xfId="0" applyFont="1" applyBorder="1" applyAlignment="1">
      <alignment horizontal="center"/>
    </xf>
    <xf numFmtId="1" fontId="115" fillId="0" borderId="22" xfId="0" applyNumberFormat="1" applyFont="1" applyBorder="1" applyAlignment="1">
      <alignment horizontal="center" vertical="center"/>
    </xf>
    <xf numFmtId="1" fontId="115" fillId="0" borderId="23" xfId="0" applyNumberFormat="1" applyFont="1" applyBorder="1" applyAlignment="1">
      <alignment horizontal="center" vertical="center"/>
    </xf>
    <xf numFmtId="1" fontId="115" fillId="0" borderId="24" xfId="0" applyNumberFormat="1" applyFont="1" applyBorder="1" applyAlignment="1">
      <alignment horizontal="center" vertical="center"/>
    </xf>
    <xf numFmtId="44" fontId="115" fillId="52" borderId="4" xfId="6" applyNumberFormat="1" applyFont="1" applyFill="1" applyBorder="1"/>
    <xf numFmtId="169" fontId="115" fillId="0" borderId="11" xfId="6" applyNumberFormat="1" applyFont="1" applyBorder="1" applyAlignment="1">
      <alignment horizontal="center"/>
    </xf>
    <xf numFmtId="169" fontId="115" fillId="0" borderId="0" xfId="6" applyNumberFormat="1" applyFont="1" applyBorder="1" applyAlignment="1">
      <alignment horizontal="center"/>
    </xf>
    <xf numFmtId="44" fontId="115" fillId="52" borderId="4" xfId="6" applyFont="1" applyFill="1" applyBorder="1" applyAlignment="1">
      <alignment horizontal="center"/>
    </xf>
    <xf numFmtId="0" fontId="118" fillId="0" borderId="0" xfId="0" applyFont="1"/>
    <xf numFmtId="0" fontId="116" fillId="0" borderId="0" xfId="1" applyNumberFormat="1" applyFont="1"/>
    <xf numFmtId="165" fontId="116" fillId="0" borderId="0" xfId="1" applyNumberFormat="1" applyFont="1" applyAlignment="1">
      <alignment horizontal="center"/>
    </xf>
    <xf numFmtId="165" fontId="115" fillId="0" borderId="22" xfId="1" applyNumberFormat="1" applyFont="1" applyBorder="1" applyAlignment="1">
      <alignment horizontal="center"/>
    </xf>
    <xf numFmtId="165" fontId="115" fillId="0" borderId="23" xfId="1" applyNumberFormat="1" applyFont="1" applyBorder="1" applyAlignment="1">
      <alignment horizontal="center"/>
    </xf>
    <xf numFmtId="165" fontId="115" fillId="0" borderId="24" xfId="1" applyNumberFormat="1" applyFont="1" applyBorder="1" applyAlignment="1">
      <alignment horizontal="center"/>
    </xf>
    <xf numFmtId="1" fontId="115" fillId="0" borderId="9" xfId="0" applyNumberFormat="1" applyFont="1" applyBorder="1"/>
    <xf numFmtId="0" fontId="116" fillId="0" borderId="0" xfId="0" applyFont="1" applyAlignment="1">
      <alignment horizontal="center" vertical="center"/>
    </xf>
    <xf numFmtId="165" fontId="117" fillId="0" borderId="0" xfId="1" applyNumberFormat="1" applyFont="1" applyAlignment="1">
      <alignment horizontal="center"/>
    </xf>
    <xf numFmtId="165" fontId="117" fillId="0" borderId="0" xfId="1" applyNumberFormat="1" applyFont="1" applyBorder="1" applyAlignment="1">
      <alignment horizontal="center"/>
    </xf>
    <xf numFmtId="43" fontId="115" fillId="0" borderId="22" xfId="1" applyNumberFormat="1" applyFont="1" applyBorder="1" applyAlignment="1">
      <alignment horizontal="center" vertical="center"/>
    </xf>
    <xf numFmtId="43" fontId="115" fillId="0" borderId="23" xfId="1" applyNumberFormat="1" applyFont="1" applyBorder="1" applyAlignment="1">
      <alignment horizontal="center" vertical="center"/>
    </xf>
    <xf numFmtId="43" fontId="115" fillId="0" borderId="24" xfId="1" applyNumberFormat="1" applyFont="1" applyBorder="1" applyAlignment="1">
      <alignment horizontal="center" vertical="center"/>
    </xf>
    <xf numFmtId="0" fontId="115" fillId="0" borderId="8" xfId="0" applyFont="1" applyBorder="1" applyAlignment="1">
      <alignment horizontal="center" vertical="center"/>
    </xf>
    <xf numFmtId="44" fontId="115" fillId="0" borderId="22" xfId="6" applyNumberFormat="1" applyFont="1" applyBorder="1" applyAlignment="1">
      <alignment horizontal="center" vertical="center"/>
    </xf>
    <xf numFmtId="44" fontId="115" fillId="0" borderId="23" xfId="6" applyNumberFormat="1" applyFont="1" applyBorder="1" applyAlignment="1">
      <alignment horizontal="center" vertical="center"/>
    </xf>
    <xf numFmtId="44" fontId="115" fillId="0" borderId="24" xfId="6" applyNumberFormat="1" applyFont="1" applyBorder="1" applyAlignment="1">
      <alignment horizontal="center" vertical="center"/>
    </xf>
    <xf numFmtId="1" fontId="115" fillId="0" borderId="22" xfId="1" applyNumberFormat="1" applyFont="1" applyBorder="1" applyAlignment="1">
      <alignment horizontal="center" vertical="center"/>
    </xf>
    <xf numFmtId="1" fontId="115" fillId="0" borderId="23" xfId="1" applyNumberFormat="1" applyFont="1" applyBorder="1" applyAlignment="1">
      <alignment horizontal="center" vertical="center"/>
    </xf>
    <xf numFmtId="1" fontId="115" fillId="0" borderId="24" xfId="1" applyNumberFormat="1" applyFont="1" applyBorder="1" applyAlignment="1">
      <alignment horizontal="center" vertical="center"/>
    </xf>
    <xf numFmtId="0" fontId="116" fillId="0" borderId="0" xfId="0" applyFont="1" applyFill="1" applyBorder="1"/>
    <xf numFmtId="0" fontId="116" fillId="0" borderId="0" xfId="0" applyFont="1" applyFill="1" applyBorder="1" applyAlignment="1">
      <alignment horizontal="center" vertical="center"/>
    </xf>
    <xf numFmtId="169" fontId="115" fillId="0" borderId="24" xfId="6" applyNumberFormat="1" applyFont="1" applyBorder="1" applyAlignment="1">
      <alignment horizontal="center" vertical="center"/>
    </xf>
    <xf numFmtId="44" fontId="115" fillId="52" borderId="4" xfId="6" applyFont="1" applyFill="1" applyBorder="1"/>
    <xf numFmtId="0" fontId="116" fillId="0" borderId="0" xfId="0" applyFont="1" applyBorder="1" applyAlignment="1">
      <alignment horizontal="center" vertical="center"/>
    </xf>
    <xf numFmtId="43" fontId="115" fillId="0" borderId="0" xfId="1" applyFont="1" applyFill="1" applyBorder="1" applyAlignment="1">
      <alignment horizontal="center"/>
    </xf>
    <xf numFmtId="43" fontId="115" fillId="0" borderId="17" xfId="1" applyFont="1" applyFill="1" applyBorder="1" applyAlignment="1">
      <alignment horizontal="center"/>
    </xf>
    <xf numFmtId="165" fontId="115" fillId="0" borderId="22" xfId="1" applyNumberFormat="1" applyFont="1" applyBorder="1" applyAlignment="1">
      <alignment horizontal="center" vertical="center"/>
    </xf>
    <xf numFmtId="165" fontId="115" fillId="0" borderId="23" xfId="1" applyNumberFormat="1" applyFont="1" applyBorder="1" applyAlignment="1">
      <alignment horizontal="center" vertical="center"/>
    </xf>
    <xf numFmtId="165" fontId="115" fillId="0" borderId="24" xfId="1" applyNumberFormat="1" applyFont="1" applyBorder="1" applyAlignment="1">
      <alignment horizontal="center" vertical="center"/>
    </xf>
    <xf numFmtId="0" fontId="116" fillId="0" borderId="0" xfId="0" applyFont="1" applyAlignment="1">
      <alignment wrapText="1"/>
    </xf>
    <xf numFmtId="9" fontId="115" fillId="0" borderId="8" xfId="0" applyNumberFormat="1" applyFont="1" applyBorder="1" applyAlignment="1">
      <alignment horizontal="center" vertical="center" wrapText="1"/>
    </xf>
    <xf numFmtId="169" fontId="115" fillId="0" borderId="9" xfId="6" applyNumberFormat="1" applyFont="1" applyBorder="1" applyAlignment="1">
      <alignment horizontal="center"/>
    </xf>
    <xf numFmtId="0" fontId="116" fillId="0" borderId="0" xfId="0" applyFont="1" applyAlignment="1">
      <alignment vertical="center" wrapText="1"/>
    </xf>
    <xf numFmtId="0" fontId="115" fillId="0" borderId="0" xfId="0" applyFont="1" applyBorder="1" applyAlignment="1">
      <alignment horizontal="center" vertical="center" wrapText="1"/>
    </xf>
    <xf numFmtId="0" fontId="117" fillId="0" borderId="0" xfId="0" applyFont="1" applyAlignment="1">
      <alignment horizontal="center" vertical="center" wrapText="1"/>
    </xf>
    <xf numFmtId="0" fontId="117" fillId="0" borderId="0" xfId="0" applyFont="1" applyBorder="1" applyAlignment="1">
      <alignment horizontal="center" vertical="center" wrapText="1"/>
    </xf>
    <xf numFmtId="0" fontId="115" fillId="0" borderId="0" xfId="0" applyFont="1" applyAlignment="1">
      <alignment vertical="center" wrapText="1"/>
    </xf>
    <xf numFmtId="0" fontId="2" fillId="0" borderId="8" xfId="2" applyNumberFormat="1" applyFont="1" applyFill="1" applyBorder="1" applyAlignment="1">
      <alignment horizontal="center" vertical="center"/>
    </xf>
    <xf numFmtId="10" fontId="115" fillId="0" borderId="22" xfId="2" applyNumberFormat="1" applyFont="1" applyBorder="1" applyAlignment="1">
      <alignment horizontal="center" vertical="center" wrapText="1"/>
    </xf>
    <xf numFmtId="10" fontId="115" fillId="0" borderId="23" xfId="2" applyNumberFormat="1" applyFont="1" applyBorder="1" applyAlignment="1">
      <alignment horizontal="center" vertical="center" wrapText="1"/>
    </xf>
    <xf numFmtId="10" fontId="115" fillId="0" borderId="24" xfId="2" applyNumberFormat="1" applyFont="1" applyBorder="1" applyAlignment="1">
      <alignment horizontal="center" vertical="center" wrapText="1"/>
    </xf>
    <xf numFmtId="10" fontId="2" fillId="0" borderId="8" xfId="2" applyNumberFormat="1" applyFont="1" applyFill="1" applyBorder="1" applyAlignment="1">
      <alignment horizontal="center" vertical="center"/>
    </xf>
    <xf numFmtId="0" fontId="121" fillId="0" borderId="0" xfId="3" applyNumberFormat="1" applyFont="1" applyFill="1" applyAlignment="1">
      <alignment horizontal="left"/>
    </xf>
    <xf numFmtId="0" fontId="121" fillId="0" borderId="0" xfId="1" applyNumberFormat="1" applyFont="1" applyFill="1" applyAlignment="1">
      <alignment horizontal="left" vertical="center"/>
    </xf>
    <xf numFmtId="0" fontId="2" fillId="0" borderId="0" xfId="1" applyNumberFormat="1" applyFont="1" applyFill="1" applyAlignment="1">
      <alignment horizontal="center" vertical="center"/>
    </xf>
    <xf numFmtId="43" fontId="2" fillId="0" borderId="22" xfId="1" applyFont="1" applyFill="1" applyBorder="1" applyAlignment="1">
      <alignment horizontal="center" vertical="center"/>
    </xf>
    <xf numFmtId="0" fontId="115" fillId="0" borderId="8" xfId="0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6" fillId="0" borderId="0" xfId="0" applyFont="1" applyFill="1" applyBorder="1" applyAlignment="1">
      <alignment vertical="center" wrapText="1"/>
    </xf>
    <xf numFmtId="9" fontId="115" fillId="0" borderId="25" xfId="2" applyFont="1" applyBorder="1" applyAlignment="1">
      <alignment horizontal="center" vertical="center"/>
    </xf>
    <xf numFmtId="9" fontId="115" fillId="0" borderId="17" xfId="2" applyFont="1" applyBorder="1" applyAlignment="1">
      <alignment horizontal="center"/>
    </xf>
    <xf numFmtId="9" fontId="115" fillId="0" borderId="18" xfId="2" applyFont="1" applyBorder="1" applyAlignment="1">
      <alignment horizontal="center"/>
    </xf>
    <xf numFmtId="165" fontId="115" fillId="0" borderId="0" xfId="0" applyNumberFormat="1" applyFont="1" applyBorder="1" applyAlignment="1">
      <alignment horizontal="center" vertical="center"/>
    </xf>
    <xf numFmtId="169" fontId="115" fillId="0" borderId="17" xfId="6" applyNumberFormat="1" applyFont="1" applyBorder="1" applyAlignment="1">
      <alignment horizontal="center" vertical="center"/>
    </xf>
    <xf numFmtId="0" fontId="115" fillId="0" borderId="0" xfId="0" applyFont="1" applyFill="1" applyAlignment="1">
      <alignment horizontal="center"/>
    </xf>
    <xf numFmtId="0" fontId="115" fillId="0" borderId="0" xfId="0" applyFont="1" applyFill="1" applyAlignment="1">
      <alignment horizontal="center" vertical="center"/>
    </xf>
    <xf numFmtId="166" fontId="115" fillId="0" borderId="0" xfId="0" applyNumberFormat="1" applyFont="1" applyAlignment="1">
      <alignment horizontal="center" vertical="center"/>
    </xf>
    <xf numFmtId="166" fontId="115" fillId="0" borderId="0" xfId="0" applyNumberFormat="1" applyFont="1" applyBorder="1" applyAlignment="1">
      <alignment horizontal="center" vertical="center"/>
    </xf>
    <xf numFmtId="44" fontId="2" fillId="52" borderId="59" xfId="6" applyFont="1" applyFill="1" applyBorder="1" applyAlignment="1">
      <alignment horizontal="center" vertical="center"/>
    </xf>
    <xf numFmtId="44" fontId="2" fillId="52" borderId="4" xfId="6" applyFont="1" applyFill="1" applyBorder="1" applyAlignment="1">
      <alignment horizontal="center" vertical="center"/>
    </xf>
    <xf numFmtId="166" fontId="115" fillId="0" borderId="0" xfId="0" applyNumberFormat="1" applyFont="1" applyFill="1" applyBorder="1" applyAlignment="1">
      <alignment horizontal="center" vertical="center"/>
    </xf>
    <xf numFmtId="169" fontId="115" fillId="0" borderId="0" xfId="6" applyNumberFormat="1" applyFont="1" applyAlignment="1">
      <alignment horizontal="center" vertical="center"/>
    </xf>
    <xf numFmtId="44" fontId="115" fillId="52" borderId="4" xfId="6" applyFont="1" applyFill="1" applyBorder="1" applyAlignment="1">
      <alignment horizontal="center" vertical="center"/>
    </xf>
    <xf numFmtId="166" fontId="115" fillId="0" borderId="0" xfId="0" applyNumberFormat="1" applyFont="1" applyBorder="1" applyAlignment="1">
      <alignment horizontal="center"/>
    </xf>
    <xf numFmtId="165" fontId="115" fillId="0" borderId="0" xfId="1" applyNumberFormat="1" applyFont="1" applyAlignment="1">
      <alignment horizontal="center" vertical="center"/>
    </xf>
    <xf numFmtId="165" fontId="115" fillId="0" borderId="0" xfId="1" applyNumberFormat="1" applyFont="1" applyFill="1" applyAlignment="1">
      <alignment horizontal="center" vertical="center"/>
    </xf>
    <xf numFmtId="165" fontId="115" fillId="0" borderId="22" xfId="1" applyNumberFormat="1" applyFont="1" applyFill="1" applyBorder="1" applyAlignment="1">
      <alignment horizontal="center" vertical="center"/>
    </xf>
    <xf numFmtId="165" fontId="115" fillId="0" borderId="23" xfId="1" applyNumberFormat="1" applyFont="1" applyFill="1" applyBorder="1" applyAlignment="1">
      <alignment horizontal="center" vertical="center"/>
    </xf>
    <xf numFmtId="165" fontId="115" fillId="0" borderId="24" xfId="1" applyNumberFormat="1" applyFont="1" applyFill="1" applyBorder="1" applyAlignment="1">
      <alignment horizontal="center" vertical="center"/>
    </xf>
    <xf numFmtId="0" fontId="115" fillId="0" borderId="0" xfId="0" applyFont="1" applyFill="1"/>
    <xf numFmtId="165" fontId="115" fillId="0" borderId="9" xfId="1" applyNumberFormat="1" applyFont="1" applyFill="1" applyBorder="1" applyAlignment="1">
      <alignment horizontal="center" vertical="center"/>
    </xf>
    <xf numFmtId="0" fontId="115" fillId="0" borderId="0" xfId="0" applyNumberFormat="1" applyFont="1" applyFill="1" applyAlignment="1">
      <alignment horizontal="left" vertical="center"/>
    </xf>
    <xf numFmtId="0" fontId="123" fillId="0" borderId="0" xfId="0" applyFont="1" applyAlignment="1">
      <alignment vertical="center" wrapText="1"/>
    </xf>
    <xf numFmtId="0" fontId="115" fillId="0" borderId="0" xfId="0" applyFont="1" applyFill="1" applyBorder="1" applyAlignment="1">
      <alignment horizontal="center" vertical="center" wrapText="1"/>
    </xf>
    <xf numFmtId="0" fontId="115" fillId="0" borderId="0" xfId="0" applyFont="1" applyAlignment="1"/>
    <xf numFmtId="169" fontId="2" fillId="2" borderId="10" xfId="6" applyNumberFormat="1" applyFont="1" applyFill="1" applyBorder="1" applyAlignment="1">
      <alignment horizontal="center" vertical="center"/>
    </xf>
    <xf numFmtId="169" fontId="2" fillId="0" borderId="11" xfId="6" applyNumberFormat="1" applyFont="1" applyFill="1" applyBorder="1" applyAlignment="1">
      <alignment horizontal="center" vertical="center"/>
    </xf>
    <xf numFmtId="169" fontId="2" fillId="0" borderId="12" xfId="6" applyNumberFormat="1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vertical="center" wrapText="1"/>
    </xf>
    <xf numFmtId="169" fontId="2" fillId="0" borderId="13" xfId="6" applyNumberFormat="1" applyFont="1" applyFill="1" applyBorder="1" applyAlignment="1">
      <alignment horizontal="center" vertical="center"/>
    </xf>
    <xf numFmtId="169" fontId="2" fillId="2" borderId="0" xfId="6" applyNumberFormat="1" applyFont="1" applyFill="1" applyBorder="1" applyAlignment="1">
      <alignment horizontal="center" vertical="center"/>
    </xf>
    <xf numFmtId="169" fontId="2" fillId="0" borderId="0" xfId="6" applyNumberFormat="1" applyFont="1" applyFill="1" applyBorder="1" applyAlignment="1">
      <alignment horizontal="center" vertical="center"/>
    </xf>
    <xf numFmtId="169" fontId="2" fillId="0" borderId="14" xfId="6" applyNumberFormat="1" applyFont="1" applyFill="1" applyBorder="1" applyAlignment="1">
      <alignment horizontal="center" vertical="center"/>
    </xf>
    <xf numFmtId="169" fontId="2" fillId="0" borderId="1" xfId="6" applyNumberFormat="1" applyFont="1" applyFill="1" applyBorder="1" applyAlignment="1">
      <alignment horizontal="center" vertical="center"/>
    </xf>
    <xf numFmtId="169" fontId="2" fillId="0" borderId="15" xfId="6" applyNumberFormat="1" applyFont="1" applyFill="1" applyBorder="1" applyAlignment="1">
      <alignment horizontal="center" vertical="center"/>
    </xf>
    <xf numFmtId="169" fontId="2" fillId="0" borderId="16" xfId="6" applyNumberFormat="1" applyFont="1" applyFill="1" applyBorder="1" applyAlignment="1">
      <alignment horizontal="center" vertical="center"/>
    </xf>
    <xf numFmtId="169" fontId="2" fillId="2" borderId="17" xfId="6" applyNumberFormat="1" applyFont="1" applyFill="1" applyBorder="1" applyAlignment="1">
      <alignment horizontal="center" vertical="center"/>
    </xf>
    <xf numFmtId="169" fontId="2" fillId="0" borderId="17" xfId="6" applyNumberFormat="1" applyFont="1" applyFill="1" applyBorder="1" applyAlignment="1">
      <alignment horizontal="center" vertical="center"/>
    </xf>
    <xf numFmtId="169" fontId="2" fillId="0" borderId="18" xfId="6" applyNumberFormat="1" applyFont="1" applyFill="1" applyBorder="1" applyAlignment="1">
      <alignment horizontal="center" vertical="center"/>
    </xf>
    <xf numFmtId="169" fontId="115" fillId="0" borderId="0" xfId="6" applyNumberFormat="1" applyFont="1" applyAlignment="1">
      <alignment horizontal="center"/>
    </xf>
    <xf numFmtId="169" fontId="115" fillId="0" borderId="0" xfId="6" applyNumberFormat="1" applyFont="1"/>
    <xf numFmtId="169" fontId="115" fillId="0" borderId="0" xfId="6" applyNumberFormat="1" applyFont="1" applyBorder="1"/>
    <xf numFmtId="169" fontId="115" fillId="0" borderId="0" xfId="6" applyNumberFormat="1" applyFont="1" applyFill="1" applyAlignment="1">
      <alignment horizontal="center"/>
    </xf>
    <xf numFmtId="169" fontId="115" fillId="0" borderId="1" xfId="6" applyNumberFormat="1" applyFont="1" applyBorder="1"/>
    <xf numFmtId="169" fontId="115" fillId="0" borderId="16" xfId="6" applyNumberFormat="1" applyFont="1" applyBorder="1"/>
    <xf numFmtId="0" fontId="115" fillId="0" borderId="0" xfId="0" applyFont="1" applyBorder="1" applyAlignment="1">
      <alignment vertical="center" wrapText="1"/>
    </xf>
    <xf numFmtId="43" fontId="2" fillId="0" borderId="0" xfId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horizontal="center" vertical="center"/>
    </xf>
    <xf numFmtId="9" fontId="2" fillId="2" borderId="10" xfId="2" applyFont="1" applyFill="1" applyBorder="1" applyAlignment="1">
      <alignment horizontal="center" vertical="center"/>
    </xf>
    <xf numFmtId="9" fontId="2" fillId="0" borderId="11" xfId="2" applyFont="1" applyFill="1" applyBorder="1" applyAlignment="1">
      <alignment horizontal="center" vertical="center"/>
    </xf>
    <xf numFmtId="9" fontId="115" fillId="0" borderId="11" xfId="2" applyFont="1" applyBorder="1" applyAlignment="1">
      <alignment horizontal="center" vertical="center"/>
    </xf>
    <xf numFmtId="9" fontId="115" fillId="0" borderId="12" xfId="2" applyFont="1" applyBorder="1" applyAlignment="1">
      <alignment horizontal="center" vertical="center"/>
    </xf>
    <xf numFmtId="9" fontId="2" fillId="0" borderId="13" xfId="2" applyFont="1" applyFill="1" applyBorder="1" applyAlignment="1">
      <alignment horizontal="center" vertical="center"/>
    </xf>
    <xf numFmtId="9" fontId="2" fillId="2" borderId="0" xfId="2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9" fontId="115" fillId="0" borderId="14" xfId="2" applyFont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9" fontId="2" fillId="0" borderId="15" xfId="2" applyFont="1" applyFill="1" applyBorder="1" applyAlignment="1">
      <alignment horizontal="center" vertical="center"/>
    </xf>
    <xf numFmtId="9" fontId="2" fillId="0" borderId="16" xfId="2" applyFont="1" applyFill="1" applyBorder="1" applyAlignment="1">
      <alignment horizontal="center" vertical="center"/>
    </xf>
    <xf numFmtId="9" fontId="2" fillId="2" borderId="17" xfId="2" applyFont="1" applyFill="1" applyBorder="1" applyAlignment="1">
      <alignment horizontal="center" vertical="center"/>
    </xf>
    <xf numFmtId="9" fontId="2" fillId="0" borderId="17" xfId="2" applyFont="1" applyFill="1" applyBorder="1" applyAlignment="1">
      <alignment horizontal="center" vertical="center"/>
    </xf>
    <xf numFmtId="9" fontId="115" fillId="0" borderId="17" xfId="2" applyFont="1" applyBorder="1" applyAlignment="1">
      <alignment horizontal="center" vertical="center"/>
    </xf>
    <xf numFmtId="9" fontId="115" fillId="0" borderId="18" xfId="2" applyFont="1" applyBorder="1" applyAlignment="1">
      <alignment horizontal="center" vertical="center"/>
    </xf>
    <xf numFmtId="1" fontId="115" fillId="0" borderId="0" xfId="2" applyNumberFormat="1" applyFont="1" applyAlignment="1">
      <alignment horizontal="center" vertical="center"/>
    </xf>
    <xf numFmtId="9" fontId="115" fillId="0" borderId="0" xfId="2" applyFont="1" applyBorder="1" applyAlignment="1">
      <alignment horizontal="center" vertical="center" wrapText="1"/>
    </xf>
    <xf numFmtId="10" fontId="2" fillId="0" borderId="22" xfId="2" applyNumberFormat="1" applyFont="1" applyFill="1" applyBorder="1" applyAlignment="1">
      <alignment horizontal="center" vertical="center"/>
    </xf>
    <xf numFmtId="10" fontId="2" fillId="0" borderId="23" xfId="2" applyNumberFormat="1" applyFont="1" applyFill="1" applyBorder="1" applyAlignment="1">
      <alignment horizontal="center" vertical="center"/>
    </xf>
    <xf numFmtId="10" fontId="2" fillId="0" borderId="24" xfId="2" applyNumberFormat="1" applyFont="1" applyFill="1" applyBorder="1" applyAlignment="1">
      <alignment horizontal="center" vertical="center"/>
    </xf>
    <xf numFmtId="9" fontId="2" fillId="0" borderId="0" xfId="2" applyFont="1" applyFill="1" applyAlignment="1">
      <alignment horizontal="center"/>
    </xf>
    <xf numFmtId="0" fontId="2" fillId="0" borderId="0" xfId="3" applyNumberFormat="1" applyFont="1" applyFill="1" applyAlignment="1">
      <alignment horizontal="center" vertical="center"/>
    </xf>
    <xf numFmtId="10" fontId="2" fillId="0" borderId="25" xfId="4" applyNumberFormat="1" applyFont="1" applyFill="1" applyBorder="1" applyAlignment="1">
      <alignment horizontal="center" vertical="center"/>
    </xf>
    <xf numFmtId="10" fontId="2" fillId="0" borderId="17" xfId="4" applyNumberFormat="1" applyFont="1" applyFill="1" applyBorder="1" applyAlignment="1">
      <alignment horizontal="center" vertical="center"/>
    </xf>
    <xf numFmtId="10" fontId="2" fillId="0" borderId="18" xfId="4" applyNumberFormat="1" applyFont="1" applyFill="1" applyBorder="1" applyAlignment="1">
      <alignment horizontal="center" vertical="center"/>
    </xf>
    <xf numFmtId="164" fontId="2" fillId="0" borderId="0" xfId="3" applyNumberFormat="1" applyFont="1" applyFill="1" applyAlignment="1">
      <alignment horizontal="center"/>
    </xf>
    <xf numFmtId="10" fontId="2" fillId="0" borderId="10" xfId="4" applyNumberFormat="1" applyFont="1" applyFill="1" applyBorder="1" applyAlignment="1">
      <alignment horizontal="center" vertical="center"/>
    </xf>
    <xf numFmtId="10" fontId="2" fillId="0" borderId="11" xfId="4" applyNumberFormat="1" applyFont="1" applyFill="1" applyBorder="1" applyAlignment="1">
      <alignment horizontal="center" vertical="center"/>
    </xf>
    <xf numFmtId="10" fontId="2" fillId="0" borderId="12" xfId="4" applyNumberFormat="1" applyFont="1" applyFill="1" applyBorder="1" applyAlignment="1">
      <alignment horizontal="center" vertical="center"/>
    </xf>
    <xf numFmtId="2" fontId="2" fillId="52" borderId="19" xfId="1" applyNumberFormat="1" applyFont="1" applyFill="1" applyBorder="1" applyAlignment="1">
      <alignment horizontal="center" vertical="center"/>
    </xf>
    <xf numFmtId="2" fontId="2" fillId="52" borderId="20" xfId="1" applyNumberFormat="1" applyFont="1" applyFill="1" applyBorder="1" applyAlignment="1">
      <alignment horizontal="center" vertical="center"/>
    </xf>
    <xf numFmtId="2" fontId="2" fillId="52" borderId="21" xfId="1" applyNumberFormat="1" applyFont="1" applyFill="1" applyBorder="1" applyAlignment="1">
      <alignment horizontal="center" vertical="center"/>
    </xf>
    <xf numFmtId="43" fontId="2" fillId="0" borderId="0" xfId="1" applyFont="1" applyFill="1" applyAlignment="1">
      <alignment horizontal="center"/>
    </xf>
    <xf numFmtId="0" fontId="115" fillId="0" borderId="0" xfId="0" applyNumberFormat="1" applyFont="1" applyAlignment="1">
      <alignment horizontal="left"/>
    </xf>
    <xf numFmtId="0" fontId="121" fillId="0" borderId="0" xfId="1" applyNumberFormat="1" applyFont="1" applyFill="1" applyBorder="1" applyAlignment="1">
      <alignment horizontal="left"/>
    </xf>
    <xf numFmtId="169" fontId="115" fillId="0" borderId="22" xfId="6" applyNumberFormat="1" applyFont="1" applyFill="1" applyBorder="1" applyAlignment="1">
      <alignment horizontal="center"/>
    </xf>
    <xf numFmtId="169" fontId="115" fillId="0" borderId="23" xfId="6" applyNumberFormat="1" applyFont="1" applyFill="1" applyBorder="1" applyAlignment="1">
      <alignment horizontal="center"/>
    </xf>
    <xf numFmtId="169" fontId="115" fillId="0" borderId="24" xfId="6" applyNumberFormat="1" applyFont="1" applyFill="1" applyBorder="1" applyAlignment="1">
      <alignment horizontal="center"/>
    </xf>
    <xf numFmtId="43" fontId="115" fillId="0" borderId="0" xfId="1" applyFont="1" applyAlignment="1">
      <alignment horizontal="center"/>
    </xf>
    <xf numFmtId="0" fontId="121" fillId="0" borderId="0" xfId="3" applyNumberFormat="1" applyFont="1" applyFill="1" applyBorder="1" applyAlignment="1">
      <alignment horizontal="left"/>
    </xf>
    <xf numFmtId="166" fontId="115" fillId="0" borderId="0" xfId="0" applyNumberFormat="1" applyFont="1" applyAlignment="1">
      <alignment horizontal="center"/>
    </xf>
    <xf numFmtId="44" fontId="115" fillId="0" borderId="0" xfId="6" applyFont="1" applyAlignment="1">
      <alignment horizontal="center"/>
    </xf>
    <xf numFmtId="44" fontId="115" fillId="0" borderId="0" xfId="6" applyFont="1" applyBorder="1" applyAlignment="1">
      <alignment horizontal="center"/>
    </xf>
    <xf numFmtId="165" fontId="2" fillId="0" borderId="28" xfId="1" applyNumberFormat="1" applyFont="1" applyFill="1" applyBorder="1" applyAlignment="1">
      <alignment horizontal="center" vertical="center"/>
    </xf>
    <xf numFmtId="169" fontId="115" fillId="0" borderId="27" xfId="6" applyNumberFormat="1" applyFont="1" applyBorder="1"/>
    <xf numFmtId="169" fontId="115" fillId="0" borderId="26" xfId="6" applyNumberFormat="1" applyFont="1" applyBorder="1"/>
    <xf numFmtId="165" fontId="115" fillId="0" borderId="0" xfId="1" applyNumberFormat="1" applyFont="1" applyAlignment="1">
      <alignment horizontal="center"/>
    </xf>
    <xf numFmtId="164" fontId="2" fillId="0" borderId="0" xfId="3" applyNumberFormat="1" applyFont="1" applyFill="1" applyBorder="1" applyAlignment="1">
      <alignment horizontal="center" vertical="center"/>
    </xf>
    <xf numFmtId="244" fontId="115" fillId="0" borderId="0" xfId="0" applyNumberFormat="1" applyFont="1" applyBorder="1" applyAlignment="1">
      <alignment horizontal="center"/>
    </xf>
    <xf numFmtId="0" fontId="2" fillId="0" borderId="0" xfId="3" applyNumberFormat="1" applyFont="1" applyFill="1" applyBorder="1" applyAlignment="1">
      <alignment horizontal="center" vertical="center"/>
    </xf>
    <xf numFmtId="165" fontId="115" fillId="0" borderId="0" xfId="1" applyNumberFormat="1" applyFont="1" applyBorder="1" applyAlignment="1">
      <alignment horizontal="center"/>
    </xf>
    <xf numFmtId="1" fontId="115" fillId="0" borderId="0" xfId="0" applyNumberFormat="1" applyFont="1" applyAlignment="1">
      <alignment horizontal="center"/>
    </xf>
    <xf numFmtId="1" fontId="115" fillId="0" borderId="0" xfId="0" applyNumberFormat="1" applyFont="1" applyBorder="1" applyAlignment="1">
      <alignment horizontal="center"/>
    </xf>
    <xf numFmtId="165" fontId="115" fillId="0" borderId="9" xfId="1" applyNumberFormat="1" applyFont="1" applyBorder="1" applyAlignment="1">
      <alignment horizontal="center" vertical="center"/>
    </xf>
    <xf numFmtId="165" fontId="115" fillId="0" borderId="0" xfId="0" applyNumberFormat="1" applyFont="1" applyAlignment="1">
      <alignment horizontal="center"/>
    </xf>
    <xf numFmtId="0" fontId="116" fillId="0" borderId="0" xfId="0" applyNumberFormat="1" applyFont="1"/>
    <xf numFmtId="10" fontId="115" fillId="0" borderId="9" xfId="2" applyNumberFormat="1" applyFont="1" applyBorder="1" applyAlignment="1">
      <alignment horizontal="center" vertical="center"/>
    </xf>
    <xf numFmtId="168" fontId="115" fillId="0" borderId="9" xfId="0" applyNumberFormat="1" applyFont="1" applyBorder="1" applyAlignment="1">
      <alignment horizontal="center" vertical="center"/>
    </xf>
    <xf numFmtId="168" fontId="115" fillId="0" borderId="0" xfId="0" applyNumberFormat="1" applyFont="1"/>
    <xf numFmtId="0" fontId="116" fillId="0" borderId="0" xfId="0" applyNumberFormat="1" applyFont="1" applyAlignment="1">
      <alignment vertical="center" wrapText="1"/>
    </xf>
    <xf numFmtId="0" fontId="116" fillId="0" borderId="0" xfId="0" applyFont="1" applyAlignment="1">
      <alignment horizontal="center" vertical="center" wrapText="1"/>
    </xf>
    <xf numFmtId="0" fontId="116" fillId="0" borderId="0" xfId="0" applyNumberFormat="1" applyFont="1" applyFill="1"/>
    <xf numFmtId="0" fontId="115" fillId="0" borderId="8" xfId="0" applyFont="1" applyFill="1" applyBorder="1" applyAlignment="1">
      <alignment horizontal="center" vertical="center"/>
    </xf>
    <xf numFmtId="9" fontId="115" fillId="0" borderId="22" xfId="2" applyFont="1" applyFill="1" applyBorder="1" applyAlignment="1">
      <alignment horizontal="center" vertical="center"/>
    </xf>
    <xf numFmtId="9" fontId="115" fillId="0" borderId="23" xfId="2" applyFont="1" applyFill="1" applyBorder="1" applyAlignment="1">
      <alignment horizontal="center" vertical="center"/>
    </xf>
    <xf numFmtId="9" fontId="115" fillId="0" borderId="24" xfId="2" applyFont="1" applyFill="1" applyBorder="1" applyAlignment="1">
      <alignment horizontal="center" vertical="center"/>
    </xf>
    <xf numFmtId="0" fontId="116" fillId="0" borderId="3" xfId="0" applyFont="1" applyBorder="1" applyAlignment="1">
      <alignment horizontal="center" vertical="center"/>
    </xf>
    <xf numFmtId="1" fontId="115" fillId="0" borderId="23" xfId="0" applyNumberFormat="1" applyFont="1" applyBorder="1" applyAlignment="1">
      <alignment horizontal="center"/>
    </xf>
    <xf numFmtId="1" fontId="115" fillId="0" borderId="24" xfId="0" applyNumberFormat="1" applyFont="1" applyBorder="1" applyAlignment="1">
      <alignment horizontal="center"/>
    </xf>
    <xf numFmtId="0" fontId="116" fillId="0" borderId="0" xfId="0" applyFont="1" applyFill="1" applyAlignment="1">
      <alignment horizontal="center" vertical="center"/>
    </xf>
    <xf numFmtId="0" fontId="115" fillId="0" borderId="0" xfId="0" applyNumberFormat="1" applyFont="1" applyFill="1" applyBorder="1" applyAlignment="1">
      <alignment horizontal="center" vertical="center"/>
    </xf>
    <xf numFmtId="0" fontId="115" fillId="0" borderId="0" xfId="0" applyNumberFormat="1" applyFont="1" applyFill="1" applyAlignment="1">
      <alignment horizontal="center" vertical="center"/>
    </xf>
    <xf numFmtId="0" fontId="116" fillId="0" borderId="0" xfId="0" applyNumberFormat="1" applyFont="1" applyFill="1" applyBorder="1"/>
    <xf numFmtId="0" fontId="116" fillId="0" borderId="0" xfId="1" applyNumberFormat="1" applyFont="1" applyFill="1" applyBorder="1" applyAlignment="1">
      <alignment horizontal="left" vertical="center"/>
    </xf>
    <xf numFmtId="1" fontId="115" fillId="0" borderId="22" xfId="1" applyNumberFormat="1" applyFont="1" applyFill="1" applyBorder="1" applyAlignment="1">
      <alignment horizontal="center" vertical="center"/>
    </xf>
    <xf numFmtId="1" fontId="115" fillId="0" borderId="23" xfId="1" applyNumberFormat="1" applyFont="1" applyFill="1" applyBorder="1" applyAlignment="1">
      <alignment horizontal="center" vertical="center"/>
    </xf>
    <xf numFmtId="1" fontId="115" fillId="0" borderId="24" xfId="1" applyNumberFormat="1" applyFont="1" applyFill="1" applyBorder="1" applyAlignment="1">
      <alignment horizontal="center" vertical="center"/>
    </xf>
    <xf numFmtId="43" fontId="115" fillId="0" borderId="0" xfId="1" applyFont="1" applyFill="1"/>
    <xf numFmtId="0" fontId="115" fillId="0" borderId="0" xfId="0" applyNumberFormat="1" applyFont="1" applyFill="1"/>
    <xf numFmtId="0" fontId="115" fillId="0" borderId="0" xfId="0" applyFont="1" applyFill="1" applyBorder="1"/>
    <xf numFmtId="0" fontId="116" fillId="0" borderId="0" xfId="1" applyNumberFormat="1" applyFont="1" applyFill="1"/>
    <xf numFmtId="165" fontId="116" fillId="0" borderId="0" xfId="1" applyNumberFormat="1" applyFont="1" applyFill="1" applyAlignment="1">
      <alignment horizontal="center" vertical="center"/>
    </xf>
    <xf numFmtId="169" fontId="115" fillId="52" borderId="19" xfId="6" applyNumberFormat="1" applyFont="1" applyFill="1" applyBorder="1" applyAlignment="1">
      <alignment horizontal="center"/>
    </xf>
    <xf numFmtId="169" fontId="115" fillId="52" borderId="20" xfId="6" applyNumberFormat="1" applyFont="1" applyFill="1" applyBorder="1" applyAlignment="1">
      <alignment horizontal="center"/>
    </xf>
    <xf numFmtId="169" fontId="115" fillId="52" borderId="21" xfId="6" applyNumberFormat="1" applyFont="1" applyFill="1" applyBorder="1" applyAlignment="1">
      <alignment horizontal="center"/>
    </xf>
    <xf numFmtId="165" fontId="115" fillId="0" borderId="0" xfId="1" applyNumberFormat="1" applyFont="1" applyFill="1"/>
    <xf numFmtId="169" fontId="115" fillId="52" borderId="20" xfId="6" applyNumberFormat="1" applyFont="1" applyFill="1" applyBorder="1"/>
    <xf numFmtId="169" fontId="115" fillId="52" borderId="21" xfId="6" applyNumberFormat="1" applyFont="1" applyFill="1" applyBorder="1"/>
    <xf numFmtId="43" fontId="115" fillId="0" borderId="0" xfId="0" applyNumberFormat="1" applyFont="1" applyFill="1"/>
    <xf numFmtId="0" fontId="115" fillId="0" borderId="0" xfId="0" applyNumberFormat="1" applyFont="1"/>
    <xf numFmtId="169" fontId="115" fillId="0" borderId="9" xfId="6" applyNumberFormat="1" applyFont="1" applyBorder="1" applyAlignment="1">
      <alignment horizontal="center" vertical="center"/>
    </xf>
    <xf numFmtId="0" fontId="115" fillId="0" borderId="28" xfId="0" applyFont="1" applyBorder="1" applyAlignment="1">
      <alignment horizontal="center" vertical="center"/>
    </xf>
    <xf numFmtId="1" fontId="115" fillId="0" borderId="0" xfId="1" applyNumberFormat="1" applyFont="1" applyBorder="1" applyAlignment="1">
      <alignment horizontal="center" vertical="center"/>
    </xf>
    <xf numFmtId="2" fontId="115" fillId="0" borderId="22" xfId="1" applyNumberFormat="1" applyFont="1" applyBorder="1" applyAlignment="1">
      <alignment horizontal="center" vertical="center"/>
    </xf>
    <xf numFmtId="2" fontId="115" fillId="0" borderId="23" xfId="1" applyNumberFormat="1" applyFont="1" applyBorder="1" applyAlignment="1">
      <alignment horizontal="center" vertical="center"/>
    </xf>
    <xf numFmtId="2" fontId="115" fillId="0" borderId="24" xfId="1" applyNumberFormat="1" applyFont="1" applyBorder="1" applyAlignment="1">
      <alignment horizontal="center" vertical="center"/>
    </xf>
    <xf numFmtId="1" fontId="115" fillId="0" borderId="27" xfId="1" applyNumberFormat="1" applyFont="1" applyBorder="1" applyAlignment="1">
      <alignment horizontal="center" vertical="center"/>
    </xf>
    <xf numFmtId="1" fontId="115" fillId="0" borderId="26" xfId="1" applyNumberFormat="1" applyFont="1" applyBorder="1" applyAlignment="1">
      <alignment horizontal="center" vertical="center"/>
    </xf>
    <xf numFmtId="169" fontId="115" fillId="52" borderId="5" xfId="6" applyNumberFormat="1" applyFont="1" applyFill="1" applyBorder="1" applyAlignment="1">
      <alignment horizontal="center"/>
    </xf>
    <xf numFmtId="169" fontId="115" fillId="52" borderId="6" xfId="6" applyNumberFormat="1" applyFont="1" applyFill="1" applyBorder="1" applyAlignment="1">
      <alignment horizontal="center"/>
    </xf>
    <xf numFmtId="169" fontId="115" fillId="52" borderId="7" xfId="6" applyNumberFormat="1" applyFont="1" applyFill="1" applyBorder="1" applyAlignment="1">
      <alignment horizontal="center"/>
    </xf>
    <xf numFmtId="167" fontId="115" fillId="0" borderId="0" xfId="0" applyNumberFormat="1" applyFont="1" applyBorder="1" applyAlignment="1">
      <alignment horizontal="center"/>
    </xf>
    <xf numFmtId="167" fontId="115" fillId="0" borderId="0" xfId="0" applyNumberFormat="1" applyFont="1" applyAlignment="1">
      <alignment horizontal="center"/>
    </xf>
    <xf numFmtId="167" fontId="2" fillId="2" borderId="10" xfId="3" applyNumberFormat="1" applyFont="1" applyFill="1" applyBorder="1" applyAlignment="1">
      <alignment horizontal="center" vertical="center"/>
    </xf>
    <xf numFmtId="167" fontId="2" fillId="0" borderId="11" xfId="3" applyNumberFormat="1" applyFont="1" applyFill="1" applyBorder="1" applyAlignment="1">
      <alignment horizontal="center" vertical="center"/>
    </xf>
    <xf numFmtId="167" fontId="2" fillId="0" borderId="12" xfId="3" applyNumberFormat="1" applyFont="1" applyFill="1" applyBorder="1" applyAlignment="1">
      <alignment horizontal="center" vertical="center"/>
    </xf>
    <xf numFmtId="167" fontId="2" fillId="0" borderId="13" xfId="3" applyNumberFormat="1" applyFont="1" applyFill="1" applyBorder="1" applyAlignment="1">
      <alignment horizontal="center" vertical="center"/>
    </xf>
    <xf numFmtId="167" fontId="2" fillId="2" borderId="0" xfId="3" applyNumberFormat="1" applyFont="1" applyFill="1" applyBorder="1" applyAlignment="1">
      <alignment horizontal="center" vertical="center"/>
    </xf>
    <xf numFmtId="167" fontId="2" fillId="0" borderId="0" xfId="3" applyNumberFormat="1" applyFont="1" applyFill="1" applyBorder="1" applyAlignment="1">
      <alignment horizontal="center" vertical="center"/>
    </xf>
    <xf numFmtId="167" fontId="2" fillId="0" borderId="14" xfId="3" applyNumberFormat="1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167" fontId="2" fillId="0" borderId="15" xfId="3" applyNumberFormat="1" applyFont="1" applyFill="1" applyBorder="1" applyAlignment="1">
      <alignment horizontal="center" vertical="center"/>
    </xf>
    <xf numFmtId="167" fontId="2" fillId="0" borderId="16" xfId="3" applyNumberFormat="1" applyFont="1" applyFill="1" applyBorder="1" applyAlignment="1">
      <alignment horizontal="center" vertical="center"/>
    </xf>
    <xf numFmtId="167" fontId="2" fillId="2" borderId="17" xfId="3" applyNumberFormat="1" applyFont="1" applyFill="1" applyBorder="1" applyAlignment="1">
      <alignment horizontal="center" vertical="center"/>
    </xf>
    <xf numFmtId="167" fontId="2" fillId="0" borderId="17" xfId="3" applyNumberFormat="1" applyFont="1" applyFill="1" applyBorder="1" applyAlignment="1">
      <alignment horizontal="center" vertical="center"/>
    </xf>
    <xf numFmtId="167" fontId="2" fillId="0" borderId="18" xfId="3" applyNumberFormat="1" applyFont="1" applyFill="1" applyBorder="1" applyAlignment="1">
      <alignment horizontal="center" vertical="center"/>
    </xf>
    <xf numFmtId="167" fontId="115" fillId="0" borderId="0" xfId="0" applyNumberFormat="1" applyFont="1" applyFill="1" applyAlignment="1">
      <alignment horizontal="center"/>
    </xf>
    <xf numFmtId="167" fontId="2" fillId="0" borderId="13" xfId="1" applyNumberFormat="1" applyFont="1" applyFill="1" applyBorder="1" applyAlignment="1">
      <alignment horizontal="center" vertical="center"/>
    </xf>
    <xf numFmtId="167" fontId="115" fillId="0" borderId="1" xfId="0" applyNumberFormat="1" applyFont="1" applyBorder="1" applyAlignment="1">
      <alignment horizontal="center"/>
    </xf>
    <xf numFmtId="167" fontId="2" fillId="0" borderId="15" xfId="1" applyNumberFormat="1" applyFont="1" applyFill="1" applyBorder="1" applyAlignment="1">
      <alignment horizontal="center" vertical="center"/>
    </xf>
    <xf numFmtId="167" fontId="115" fillId="0" borderId="16" xfId="0" applyNumberFormat="1" applyFont="1" applyBorder="1" applyAlignment="1">
      <alignment horizontal="center"/>
    </xf>
    <xf numFmtId="1" fontId="115" fillId="0" borderId="0" xfId="0" applyNumberFormat="1" applyFont="1"/>
    <xf numFmtId="1" fontId="115" fillId="0" borderId="0" xfId="2" applyNumberFormat="1" applyFont="1" applyBorder="1" applyAlignment="1">
      <alignment horizontal="center" vertical="center"/>
    </xf>
    <xf numFmtId="0" fontId="117" fillId="0" borderId="0" xfId="1" applyNumberFormat="1" applyFont="1" applyAlignment="1">
      <alignment vertical="center"/>
    </xf>
    <xf numFmtId="165" fontId="117" fillId="0" borderId="0" xfId="1" applyNumberFormat="1" applyFont="1" applyAlignment="1"/>
    <xf numFmtId="165" fontId="115" fillId="0" borderId="0" xfId="1" applyNumberFormat="1" applyFont="1" applyAlignment="1"/>
    <xf numFmtId="0" fontId="116" fillId="0" borderId="0" xfId="1" applyNumberFormat="1" applyFont="1" applyAlignment="1">
      <alignment horizontal="left" vertical="center"/>
    </xf>
    <xf numFmtId="169" fontId="115" fillId="0" borderId="9" xfId="6" applyNumberFormat="1" applyFont="1" applyBorder="1"/>
    <xf numFmtId="165" fontId="117" fillId="0" borderId="0" xfId="1" applyNumberFormat="1" applyFont="1"/>
    <xf numFmtId="165" fontId="115" fillId="0" borderId="22" xfId="1" applyNumberFormat="1" applyFont="1" applyFill="1" applyBorder="1"/>
    <xf numFmtId="165" fontId="115" fillId="0" borderId="23" xfId="1" applyNumberFormat="1" applyFont="1" applyFill="1" applyBorder="1"/>
    <xf numFmtId="165" fontId="115" fillId="0" borderId="27" xfId="1" applyNumberFormat="1" applyFont="1" applyBorder="1"/>
    <xf numFmtId="165" fontId="115" fillId="0" borderId="26" xfId="1" applyNumberFormat="1" applyFont="1" applyBorder="1"/>
    <xf numFmtId="165" fontId="115" fillId="0" borderId="22" xfId="1" applyNumberFormat="1" applyFont="1" applyBorder="1"/>
    <xf numFmtId="165" fontId="115" fillId="0" borderId="23" xfId="1" applyNumberFormat="1" applyFont="1" applyBorder="1"/>
    <xf numFmtId="165" fontId="115" fillId="0" borderId="90" xfId="1" applyNumberFormat="1" applyFont="1" applyBorder="1"/>
    <xf numFmtId="165" fontId="115" fillId="0" borderId="17" xfId="1" applyNumberFormat="1" applyFont="1" applyBorder="1"/>
    <xf numFmtId="165" fontId="115" fillId="0" borderId="29" xfId="1" applyNumberFormat="1" applyFont="1" applyBorder="1"/>
    <xf numFmtId="165" fontId="115" fillId="0" borderId="6" xfId="1" applyNumberFormat="1" applyFont="1" applyBorder="1"/>
    <xf numFmtId="165" fontId="115" fillId="0" borderId="89" xfId="1" applyNumberFormat="1" applyFont="1" applyBorder="1"/>
    <xf numFmtId="165" fontId="115" fillId="52" borderId="5" xfId="1" applyNumberFormat="1" applyFont="1" applyFill="1" applyBorder="1"/>
    <xf numFmtId="165" fontId="115" fillId="52" borderId="6" xfId="1" applyNumberFormat="1" applyFont="1" applyFill="1" applyBorder="1"/>
    <xf numFmtId="165" fontId="115" fillId="52" borderId="20" xfId="1" applyNumberFormat="1" applyFont="1" applyFill="1" applyBorder="1"/>
    <xf numFmtId="165" fontId="115" fillId="52" borderId="21" xfId="1" applyNumberFormat="1" applyFont="1" applyFill="1" applyBorder="1"/>
    <xf numFmtId="169" fontId="115" fillId="52" borderId="77" xfId="6" applyNumberFormat="1" applyFont="1" applyFill="1" applyBorder="1"/>
    <xf numFmtId="169" fontId="115" fillId="52" borderId="78" xfId="6" applyNumberFormat="1" applyFont="1" applyFill="1" applyBorder="1"/>
    <xf numFmtId="169" fontId="115" fillId="52" borderId="80" xfId="6" applyNumberFormat="1" applyFont="1" applyFill="1" applyBorder="1"/>
    <xf numFmtId="169" fontId="115" fillId="52" borderId="79" xfId="6" applyNumberFormat="1" applyFont="1" applyFill="1" applyBorder="1"/>
    <xf numFmtId="169" fontId="115" fillId="52" borderId="19" xfId="6" applyNumberFormat="1" applyFont="1" applyFill="1" applyBorder="1"/>
    <xf numFmtId="164" fontId="115" fillId="0" borderId="9" xfId="2" applyNumberFormat="1" applyFont="1" applyFill="1" applyBorder="1" applyAlignment="1">
      <alignment horizontal="center"/>
    </xf>
    <xf numFmtId="165" fontId="117" fillId="0" borderId="0" xfId="1" applyNumberFormat="1" applyFont="1" applyBorder="1"/>
    <xf numFmtId="169" fontId="115" fillId="0" borderId="26" xfId="6" applyNumberFormat="1" applyFont="1" applyBorder="1" applyAlignment="1">
      <alignment horizontal="center" vertical="center"/>
    </xf>
    <xf numFmtId="0" fontId="115" fillId="51" borderId="2" xfId="0" applyFont="1" applyFill="1" applyBorder="1" applyAlignment="1">
      <alignment horizontal="center"/>
    </xf>
    <xf numFmtId="0" fontId="115" fillId="0" borderId="2" xfId="0" applyFont="1" applyFill="1" applyBorder="1" applyAlignment="1">
      <alignment horizontal="center"/>
    </xf>
    <xf numFmtId="0" fontId="115" fillId="0" borderId="9" xfId="0" applyFont="1" applyBorder="1" applyAlignment="1">
      <alignment horizontal="center"/>
    </xf>
    <xf numFmtId="0" fontId="2" fillId="52" borderId="68" xfId="0" applyFont="1" applyFill="1" applyBorder="1" applyAlignment="1">
      <alignment horizontal="center"/>
    </xf>
    <xf numFmtId="165" fontId="115" fillId="0" borderId="0" xfId="1" applyNumberFormat="1" applyFont="1" applyFill="1" applyAlignment="1">
      <alignment vertical="center"/>
    </xf>
    <xf numFmtId="0" fontId="123" fillId="0" borderId="0" xfId="0" applyNumberFormat="1" applyFont="1" applyAlignment="1">
      <alignment vertical="center"/>
    </xf>
    <xf numFmtId="169" fontId="117" fillId="0" borderId="22" xfId="0" applyNumberFormat="1" applyFont="1" applyBorder="1"/>
    <xf numFmtId="169" fontId="117" fillId="0" borderId="23" xfId="0" applyNumberFormat="1" applyFont="1" applyBorder="1"/>
    <xf numFmtId="169" fontId="117" fillId="0" borderId="24" xfId="0" applyNumberFormat="1" applyFont="1" applyBorder="1"/>
    <xf numFmtId="0" fontId="118" fillId="0" borderId="103" xfId="0" applyFont="1" applyBorder="1" applyAlignment="1">
      <alignment horizontal="center" vertical="center"/>
    </xf>
    <xf numFmtId="0" fontId="116" fillId="0" borderId="0" xfId="0" applyNumberFormat="1" applyFont="1" applyBorder="1" applyAlignment="1">
      <alignment horizontal="left" vertical="center"/>
    </xf>
    <xf numFmtId="0" fontId="117" fillId="0" borderId="0" xfId="0" applyFont="1" applyBorder="1" applyAlignment="1">
      <alignment horizontal="center" vertical="center"/>
    </xf>
    <xf numFmtId="167" fontId="115" fillId="0" borderId="10" xfId="0" applyNumberFormat="1" applyFont="1" applyBorder="1" applyAlignment="1">
      <alignment horizontal="center"/>
    </xf>
    <xf numFmtId="167" fontId="115" fillId="0" borderId="11" xfId="0" applyNumberFormat="1" applyFont="1" applyBorder="1" applyAlignment="1">
      <alignment horizontal="center"/>
    </xf>
    <xf numFmtId="167" fontId="115" fillId="0" borderId="12" xfId="0" applyNumberFormat="1" applyFont="1" applyBorder="1" applyAlignment="1">
      <alignment horizontal="center"/>
    </xf>
    <xf numFmtId="167" fontId="115" fillId="0" borderId="14" xfId="0" applyNumberFormat="1" applyFont="1" applyBorder="1" applyAlignment="1">
      <alignment horizontal="center"/>
    </xf>
    <xf numFmtId="167" fontId="115" fillId="0" borderId="17" xfId="0" applyNumberFormat="1" applyFont="1" applyBorder="1" applyAlignment="1">
      <alignment horizontal="center"/>
    </xf>
    <xf numFmtId="167" fontId="115" fillId="0" borderId="18" xfId="0" applyNumberFormat="1" applyFont="1" applyBorder="1" applyAlignment="1">
      <alignment horizontal="center"/>
    </xf>
    <xf numFmtId="167" fontId="2" fillId="0" borderId="13" xfId="2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167" fontId="2" fillId="0" borderId="15" xfId="2" applyNumberFormat="1" applyFont="1" applyFill="1" applyBorder="1" applyAlignment="1">
      <alignment horizontal="center" vertical="center"/>
    </xf>
    <xf numFmtId="167" fontId="2" fillId="0" borderId="16" xfId="2" applyNumberFormat="1" applyFont="1" applyFill="1" applyBorder="1" applyAlignment="1">
      <alignment horizontal="center" vertical="center"/>
    </xf>
    <xf numFmtId="9" fontId="117" fillId="0" borderId="0" xfId="0" applyNumberFormat="1" applyFont="1" applyBorder="1" applyAlignment="1">
      <alignment horizontal="center" vertical="center"/>
    </xf>
    <xf numFmtId="0" fontId="115" fillId="0" borderId="14" xfId="0" applyFont="1" applyBorder="1"/>
    <xf numFmtId="2" fontId="39" fillId="0" borderId="72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0" fontId="123" fillId="51" borderId="72" xfId="1" applyNumberFormat="1" applyFont="1" applyFill="1" applyBorder="1"/>
    <xf numFmtId="0" fontId="115" fillId="0" borderId="14" xfId="1" applyNumberFormat="1" applyFont="1" applyFill="1" applyBorder="1" applyAlignment="1">
      <alignment horizontal="left" vertical="center"/>
    </xf>
    <xf numFmtId="0" fontId="117" fillId="0" borderId="72" xfId="0" applyNumberFormat="1" applyFont="1" applyBorder="1" applyAlignment="1">
      <alignment horizontal="center" vertical="center"/>
    </xf>
    <xf numFmtId="0" fontId="122" fillId="0" borderId="76" xfId="0" applyNumberFormat="1" applyFont="1" applyBorder="1" applyAlignment="1">
      <alignment horizontal="left" vertical="center"/>
    </xf>
    <xf numFmtId="0" fontId="118" fillId="0" borderId="76" xfId="0" applyNumberFormat="1" applyFont="1" applyBorder="1" applyAlignment="1">
      <alignment horizontal="left" vertical="center"/>
    </xf>
    <xf numFmtId="0" fontId="119" fillId="0" borderId="76" xfId="0" applyNumberFormat="1" applyFont="1" applyBorder="1" applyAlignment="1">
      <alignment horizontal="left" vertical="center"/>
    </xf>
    <xf numFmtId="0" fontId="120" fillId="0" borderId="76" xfId="0" applyNumberFormat="1" applyFont="1" applyBorder="1" applyAlignment="1">
      <alignment horizontal="left" vertical="center"/>
    </xf>
    <xf numFmtId="0" fontId="123" fillId="0" borderId="73" xfId="0" applyNumberFormat="1" applyFont="1" applyFill="1" applyBorder="1" applyAlignment="1">
      <alignment horizontal="left" vertical="center"/>
    </xf>
    <xf numFmtId="0" fontId="123" fillId="0" borderId="76" xfId="0" applyNumberFormat="1" applyFont="1" applyFill="1" applyBorder="1" applyAlignment="1">
      <alignment horizontal="left" vertical="center"/>
    </xf>
    <xf numFmtId="0" fontId="123" fillId="0" borderId="76" xfId="0" applyFont="1" applyBorder="1"/>
    <xf numFmtId="0" fontId="123" fillId="0" borderId="73" xfId="0" applyNumberFormat="1" applyFont="1" applyBorder="1" applyAlignment="1">
      <alignment horizontal="left" vertical="center"/>
    </xf>
    <xf numFmtId="0" fontId="123" fillId="0" borderId="73" xfId="1" applyNumberFormat="1" applyFont="1" applyBorder="1" applyAlignment="1">
      <alignment horizontal="left" vertical="center"/>
    </xf>
    <xf numFmtId="0" fontId="123" fillId="0" borderId="76" xfId="1" applyNumberFormat="1" applyFont="1" applyBorder="1" applyAlignment="1">
      <alignment horizontal="left" vertical="center"/>
    </xf>
    <xf numFmtId="0" fontId="123" fillId="0" borderId="73" xfId="0" applyFont="1" applyBorder="1" applyAlignment="1">
      <alignment horizontal="left" vertical="center"/>
    </xf>
    <xf numFmtId="0" fontId="123" fillId="0" borderId="73" xfId="0" applyFont="1" applyFill="1" applyBorder="1" applyAlignment="1">
      <alignment horizontal="left" vertical="center"/>
    </xf>
    <xf numFmtId="10" fontId="123" fillId="0" borderId="73" xfId="2" applyNumberFormat="1" applyFont="1" applyBorder="1" applyAlignment="1">
      <alignment horizontal="left" vertical="center"/>
    </xf>
    <xf numFmtId="0" fontId="123" fillId="0" borderId="76" xfId="0" applyFont="1" applyBorder="1" applyAlignment="1">
      <alignment horizontal="left" vertical="center"/>
    </xf>
    <xf numFmtId="0" fontId="123" fillId="0" borderId="76" xfId="0" applyNumberFormat="1" applyFont="1" applyBorder="1" applyAlignment="1">
      <alignment horizontal="left" vertical="center"/>
    </xf>
    <xf numFmtId="9" fontId="123" fillId="0" borderId="73" xfId="2" applyFont="1" applyBorder="1" applyAlignment="1">
      <alignment horizontal="left" vertical="center"/>
    </xf>
    <xf numFmtId="0" fontId="123" fillId="0" borderId="74" xfId="0" applyFont="1" applyBorder="1" applyAlignment="1">
      <alignment horizontal="left" vertical="center"/>
    </xf>
    <xf numFmtId="0" fontId="123" fillId="0" borderId="73" xfId="6" applyNumberFormat="1" applyFont="1" applyBorder="1" applyAlignment="1">
      <alignment horizontal="left" vertical="center"/>
    </xf>
    <xf numFmtId="1" fontId="116" fillId="0" borderId="0" xfId="0" applyNumberFormat="1" applyFont="1"/>
    <xf numFmtId="44" fontId="117" fillId="51" borderId="2" xfId="6" applyNumberFormat="1" applyFont="1" applyFill="1" applyBorder="1" applyAlignment="1">
      <alignment horizontal="center" vertical="center"/>
    </xf>
    <xf numFmtId="44" fontId="115" fillId="0" borderId="8" xfId="2" applyNumberFormat="1" applyFont="1" applyBorder="1" applyAlignment="1">
      <alignment horizontal="center" vertical="center"/>
    </xf>
    <xf numFmtId="9" fontId="115" fillId="52" borderId="19" xfId="2" applyFont="1" applyFill="1" applyBorder="1" applyAlignment="1">
      <alignment horizontal="center" vertical="center"/>
    </xf>
    <xf numFmtId="9" fontId="115" fillId="52" borderId="20" xfId="2" applyFont="1" applyFill="1" applyBorder="1" applyAlignment="1">
      <alignment horizontal="center" vertical="center"/>
    </xf>
    <xf numFmtId="9" fontId="115" fillId="52" borderId="21" xfId="2" applyFont="1" applyFill="1" applyBorder="1" applyAlignment="1">
      <alignment horizontal="center" vertical="center"/>
    </xf>
    <xf numFmtId="165" fontId="115" fillId="0" borderId="10" xfId="1" applyNumberFormat="1" applyFont="1" applyBorder="1" applyAlignment="1">
      <alignment horizontal="center" vertical="center"/>
    </xf>
    <xf numFmtId="165" fontId="115" fillId="0" borderId="11" xfId="1" applyNumberFormat="1" applyFont="1" applyBorder="1" applyAlignment="1">
      <alignment horizontal="center" vertical="center"/>
    </xf>
    <xf numFmtId="165" fontId="115" fillId="0" borderId="12" xfId="1" applyNumberFormat="1" applyFont="1" applyBorder="1" applyAlignment="1">
      <alignment horizontal="center" vertical="center"/>
    </xf>
    <xf numFmtId="44" fontId="115" fillId="0" borderId="0" xfId="2" applyNumberFormat="1" applyFont="1" applyBorder="1" applyAlignment="1">
      <alignment vertical="center"/>
    </xf>
    <xf numFmtId="0" fontId="125" fillId="0" borderId="73" xfId="0" applyFont="1" applyBorder="1" applyAlignment="1">
      <alignment horizontal="left" vertical="center"/>
    </xf>
    <xf numFmtId="169" fontId="115" fillId="0" borderId="0" xfId="6" applyNumberFormat="1" applyFont="1" applyFill="1" applyBorder="1" applyAlignment="1">
      <alignment horizontal="center" vertical="center"/>
    </xf>
    <xf numFmtId="44" fontId="115" fillId="0" borderId="114" xfId="6" applyNumberFormat="1" applyFont="1" applyBorder="1" applyAlignment="1">
      <alignment horizontal="center" vertical="center"/>
    </xf>
    <xf numFmtId="169" fontId="115" fillId="0" borderId="10" xfId="6" applyNumberFormat="1" applyFont="1" applyBorder="1" applyAlignment="1">
      <alignment horizontal="center"/>
    </xf>
    <xf numFmtId="169" fontId="115" fillId="0" borderId="12" xfId="6" applyNumberFormat="1" applyFont="1" applyBorder="1" applyAlignment="1">
      <alignment horizontal="center"/>
    </xf>
    <xf numFmtId="169" fontId="115" fillId="0" borderId="14" xfId="6" applyNumberFormat="1" applyFont="1" applyBorder="1" applyAlignment="1">
      <alignment horizontal="center"/>
    </xf>
    <xf numFmtId="169" fontId="115" fillId="0" borderId="17" xfId="6" applyNumberFormat="1" applyFont="1" applyBorder="1" applyAlignment="1">
      <alignment horizontal="center"/>
    </xf>
    <xf numFmtId="169" fontId="115" fillId="0" borderId="18" xfId="6" applyNumberFormat="1" applyFont="1" applyBorder="1" applyAlignment="1">
      <alignment horizontal="center"/>
    </xf>
    <xf numFmtId="9" fontId="115" fillId="0" borderId="0" xfId="2" applyFont="1" applyBorder="1" applyAlignment="1">
      <alignment vertical="center"/>
    </xf>
    <xf numFmtId="165" fontId="115" fillId="0" borderId="8" xfId="1" applyNumberFormat="1" applyFont="1" applyFill="1" applyBorder="1" applyAlignment="1">
      <alignment horizontal="center" vertical="center"/>
    </xf>
    <xf numFmtId="165" fontId="115" fillId="0" borderId="69" xfId="1" applyNumberFormat="1" applyFont="1" applyFill="1" applyBorder="1" applyAlignment="1">
      <alignment horizontal="center" vertical="center"/>
    </xf>
    <xf numFmtId="9" fontId="117" fillId="0" borderId="83" xfId="2" applyFont="1" applyBorder="1" applyAlignment="1">
      <alignment horizontal="center" vertical="center"/>
    </xf>
    <xf numFmtId="9" fontId="115" fillId="0" borderId="3" xfId="2" applyNumberFormat="1" applyFont="1" applyBorder="1" applyAlignment="1">
      <alignment horizontal="center" vertical="center"/>
    </xf>
    <xf numFmtId="44" fontId="116" fillId="0" borderId="76" xfId="6" applyFont="1" applyBorder="1" applyAlignment="1">
      <alignment horizontal="left" vertical="center"/>
    </xf>
    <xf numFmtId="44" fontId="117" fillId="51" borderId="8" xfId="6" applyFont="1" applyFill="1" applyBorder="1" applyAlignment="1">
      <alignment horizontal="center" vertical="center"/>
    </xf>
    <xf numFmtId="44" fontId="117" fillId="51" borderId="69" xfId="6" applyFont="1" applyFill="1" applyBorder="1" applyAlignment="1">
      <alignment horizontal="center" vertical="center"/>
    </xf>
    <xf numFmtId="44" fontId="117" fillId="51" borderId="72" xfId="6" applyFont="1" applyFill="1" applyBorder="1" applyAlignment="1">
      <alignment horizontal="center" vertical="center"/>
    </xf>
    <xf numFmtId="0" fontId="115" fillId="0" borderId="0" xfId="6" applyNumberFormat="1" applyFont="1" applyAlignment="1">
      <alignment horizontal="left" vertical="center"/>
    </xf>
    <xf numFmtId="44" fontId="115" fillId="0" borderId="8" xfId="6" applyFont="1" applyBorder="1" applyAlignment="1">
      <alignment horizontal="center" vertical="center"/>
    </xf>
    <xf numFmtId="44" fontId="115" fillId="0" borderId="69" xfId="6" applyFont="1" applyBorder="1" applyAlignment="1">
      <alignment horizontal="center" vertical="center"/>
    </xf>
    <xf numFmtId="44" fontId="115" fillId="0" borderId="72" xfId="6" applyFont="1" applyBorder="1" applyAlignment="1">
      <alignment horizontal="center" vertical="center"/>
    </xf>
    <xf numFmtId="0" fontId="115" fillId="0" borderId="0" xfId="6" applyNumberFormat="1" applyFont="1" applyFill="1" applyBorder="1" applyAlignment="1">
      <alignment horizontal="left" vertical="center"/>
    </xf>
    <xf numFmtId="1" fontId="115" fillId="0" borderId="61" xfId="0" applyNumberFormat="1" applyFont="1" applyBorder="1" applyAlignment="1">
      <alignment horizontal="center"/>
    </xf>
    <xf numFmtId="1" fontId="115" fillId="0" borderId="29" xfId="0" applyNumberFormat="1" applyFont="1" applyBorder="1" applyAlignment="1">
      <alignment horizontal="center"/>
    </xf>
    <xf numFmtId="1" fontId="115" fillId="0" borderId="113" xfId="0" applyNumberFormat="1" applyFont="1" applyBorder="1" applyAlignment="1">
      <alignment horizontal="center"/>
    </xf>
    <xf numFmtId="9" fontId="115" fillId="52" borderId="19" xfId="2" applyFont="1" applyFill="1" applyBorder="1" applyAlignment="1">
      <alignment horizontal="center"/>
    </xf>
    <xf numFmtId="9" fontId="115" fillId="52" borderId="20" xfId="2" applyFont="1" applyFill="1" applyBorder="1" applyAlignment="1">
      <alignment horizontal="center"/>
    </xf>
    <xf numFmtId="9" fontId="115" fillId="52" borderId="21" xfId="2" applyFont="1" applyFill="1" applyBorder="1" applyAlignment="1">
      <alignment horizontal="center"/>
    </xf>
    <xf numFmtId="9" fontId="115" fillId="0" borderId="82" xfId="2" applyFont="1" applyBorder="1" applyAlignment="1">
      <alignment horizontal="center" vertical="center"/>
    </xf>
    <xf numFmtId="9" fontId="115" fillId="0" borderId="115" xfId="2" applyFont="1" applyBorder="1" applyAlignment="1">
      <alignment horizontal="center" vertical="center"/>
    </xf>
    <xf numFmtId="9" fontId="123" fillId="53" borderId="116" xfId="2" applyFont="1" applyFill="1" applyBorder="1" applyAlignment="1">
      <alignment horizontal="left" vertical="center"/>
    </xf>
    <xf numFmtId="9" fontId="117" fillId="53" borderId="117" xfId="2" applyFont="1" applyFill="1" applyBorder="1" applyAlignment="1">
      <alignment horizontal="center" vertical="center"/>
    </xf>
    <xf numFmtId="9" fontId="117" fillId="53" borderId="23" xfId="2" applyFont="1" applyFill="1" applyBorder="1" applyAlignment="1">
      <alignment horizontal="center" vertical="center"/>
    </xf>
    <xf numFmtId="9" fontId="117" fillId="53" borderId="24" xfId="2" applyFont="1" applyFill="1" applyBorder="1" applyAlignment="1">
      <alignment horizontal="center" vertical="center"/>
    </xf>
    <xf numFmtId="9" fontId="115" fillId="0" borderId="0" xfId="0" applyNumberFormat="1" applyFont="1" applyAlignment="1">
      <alignment vertical="center"/>
    </xf>
    <xf numFmtId="0" fontId="126" fillId="0" borderId="0" xfId="0" applyFont="1" applyAlignment="1">
      <alignment horizontal="center" wrapText="1"/>
    </xf>
    <xf numFmtId="0" fontId="114" fillId="0" borderId="66" xfId="0" applyNumberFormat="1" applyFont="1" applyBorder="1" applyAlignment="1">
      <alignment horizontal="center" vertical="center"/>
    </xf>
    <xf numFmtId="0" fontId="114" fillId="0" borderId="67" xfId="0" applyNumberFormat="1" applyFont="1" applyBorder="1" applyAlignment="1">
      <alignment horizontal="center" vertical="center"/>
    </xf>
  </cellXfs>
  <cellStyles count="557">
    <cellStyle name=" Writer Import]_x000d__x000a_Display Dialog=No_x000d__x000a__x000d__x000a_[Horizontal Arrange]_x000d__x000a_Dimensions Interlocking=Yes_x000d__x000a_Sum Hierarchy=Yes_x000d__x000a_Generate" xfId="7"/>
    <cellStyle name="_x000d__x000a_JournalTemplate=C:\COMFO\CTALK\JOURSTD.TPL_x000d__x000a_LbStateAddress=3 3 0 251 1 89 2 311_x000d__x000a_LbStateJou" xfId="8"/>
    <cellStyle name="%" xfId="9"/>
    <cellStyle name="% 2" xfId="10"/>
    <cellStyle name="% 3" xfId="11"/>
    <cellStyle name="% 4" xfId="12"/>
    <cellStyle name="%_cout PM ZMD - 180411" xfId="13"/>
    <cellStyle name="%_cout PM ZMD - 180411 2" xfId="14"/>
    <cellStyle name="%_Fiche4-FT-BLDEG-FAS-PR11" xfId="15"/>
    <cellStyle name="%_Fiche4-FT-BLDEG-PABO-PR11" xfId="16"/>
    <cellStyle name="%_Fiche4-FT-BLDEG-TABO-PR11" xfId="17"/>
    <cellStyle name="%_Fiche4-FT-BLPNB-PR11" xfId="18"/>
    <cellStyle name="%_Fiche4-FT-BLVGAANA-PR11" xfId="19"/>
    <cellStyle name="%_Fiche4-FT-BLVGANUM-PR11" xfId="20"/>
    <cellStyle name="%_FICHE-FT-ACCES-PR11-V3-20-12-2010" xfId="21"/>
    <cellStyle name="%_FICHE-FT-BLLPA-PR11" xfId="22"/>
    <cellStyle name="%_FICHES-FT-5-PRODUITS-PR11-V3-20-12-2010" xfId="23"/>
    <cellStyle name="_807 Prévalo Mini NRA ZO PPP 33" xfId="24"/>
    <cellStyle name="_807 Prévalo Mini NRA ZO PPP 33 2" xfId="25"/>
    <cellStyle name="_BP HE 25-05-07" xfId="26"/>
    <cellStyle name="_BP HE 25-05-07 2" xfId="27"/>
    <cellStyle name="_CAPEX ZMD-2" xfId="28"/>
    <cellStyle name="_CAPEX ZMD-2 2" xfId="29"/>
    <cellStyle name="_Charges de personnel Offres GC" xfId="30"/>
    <cellStyle name="_Config immeuble moyenne" xfId="31"/>
    <cellStyle name="_Config immeuble moyenne 2" xfId="32"/>
    <cellStyle name="_cotation etr V3 AVEC VALEURS" xfId="33"/>
    <cellStyle name="_cotation etr V3 AVEC VALEURS 2" xfId="34"/>
    <cellStyle name="_cotation etr V4 AVEC VALEURS" xfId="35"/>
    <cellStyle name="_cotation etr V4 AVEC VALEURS 2" xfId="36"/>
    <cellStyle name="_cout PM ZMD - 180411" xfId="37"/>
    <cellStyle name="_cout PM ZMD - 180411 2" xfId="38"/>
    <cellStyle name="_Métiers et ratios " xfId="39"/>
    <cellStyle name="_Métiers et ratios  2" xfId="40"/>
    <cellStyle name="_MultiNRA-AccèsFO-2005-2-Charges" xfId="41"/>
    <cellStyle name="_MultiNRA-AccèsFO-2005-2-Charges 2" xfId="42"/>
    <cellStyle name="_pesage renégo tour 3 tous etr" xfId="43"/>
    <cellStyle name="_pesage renégo tour 3 tous etr 2" xfId="44"/>
    <cellStyle name="_PPPA_cout_res_LGC" xfId="45"/>
    <cellStyle name="_Tarif PM" xfId="46"/>
    <cellStyle name="_tarif travaux sites CV3" xfId="47"/>
    <cellStyle name="_tarif travaux sites CV3 2" xfId="48"/>
    <cellStyle name="_tvx-site" xfId="49"/>
    <cellStyle name="_ZA NRA nonopt 1MMAX SDSL" xfId="50"/>
    <cellStyle name="=C:\WINNT\SYSTEM32\COMMAND.COM" xfId="51"/>
    <cellStyle name="=C:\WINNT\SYSTEM32\COMMAND.COM 2" xfId="52"/>
    <cellStyle name="0,0_x000d__x000a_NA_x000d__x000a_" xfId="53"/>
    <cellStyle name="1,comma" xfId="54"/>
    <cellStyle name="1,comma 2" xfId="55"/>
    <cellStyle name="20 % - Accent1 2" xfId="56"/>
    <cellStyle name="20 % - Accent2 2" xfId="57"/>
    <cellStyle name="20 % - Accent3 2" xfId="58"/>
    <cellStyle name="20 % - Accent4 2" xfId="59"/>
    <cellStyle name="20 % - Accent5 2" xfId="60"/>
    <cellStyle name="20 % - Accent6 2" xfId="61"/>
    <cellStyle name="40 % - Accent1 2" xfId="62"/>
    <cellStyle name="40 % - Accent2 2" xfId="63"/>
    <cellStyle name="40 % - Accent3 2" xfId="64"/>
    <cellStyle name="40 % - Accent4 2" xfId="65"/>
    <cellStyle name="40 % - Accent5 2" xfId="66"/>
    <cellStyle name="40 % - Accent6 2" xfId="67"/>
    <cellStyle name="6" xfId="68"/>
    <cellStyle name="6 2" xfId="69"/>
    <cellStyle name="60 % - Accent1 2" xfId="70"/>
    <cellStyle name="60 % - Accent2 2" xfId="71"/>
    <cellStyle name="60 % - Accent3 2" xfId="72"/>
    <cellStyle name="60 % - Accent4 2" xfId="73"/>
    <cellStyle name="60 % - Accent5 2" xfId="74"/>
    <cellStyle name="60 % - Accent6 2" xfId="75"/>
    <cellStyle name="6mal" xfId="76"/>
    <cellStyle name="9" xfId="77"/>
    <cellStyle name="Accent1 2" xfId="78"/>
    <cellStyle name="Accent2 2" xfId="79"/>
    <cellStyle name="Accent3 2" xfId="80"/>
    <cellStyle name="Accent4 2" xfId="81"/>
    <cellStyle name="Accent5 2" xfId="82"/>
    <cellStyle name="Accent6 2" xfId="83"/>
    <cellStyle name="Actual Date" xfId="84"/>
    <cellStyle name="Actual Date 2" xfId="85"/>
    <cellStyle name="AFE" xfId="86"/>
    <cellStyle name="args.style" xfId="87"/>
    <cellStyle name="args.style 2" xfId="88"/>
    <cellStyle name="Arial 10" xfId="89"/>
    <cellStyle name="Arial 12" xfId="90"/>
    <cellStyle name="Avertissement 2" xfId="91"/>
    <cellStyle name="BlackStrike" xfId="92"/>
    <cellStyle name="BlackText" xfId="93"/>
    <cellStyle name="blank" xfId="94"/>
    <cellStyle name="blank 2" xfId="95"/>
    <cellStyle name="blue" xfId="96"/>
    <cellStyle name="blue 2" xfId="97"/>
    <cellStyle name="boite" xfId="98"/>
    <cellStyle name="boite 2" xfId="99"/>
    <cellStyle name="BOLD" xfId="100"/>
    <cellStyle name="BOLD 2" xfId="101"/>
    <cellStyle name="BoldText" xfId="102"/>
    <cellStyle name="Border Heavy" xfId="103"/>
    <cellStyle name="Border Thin" xfId="104"/>
    <cellStyle name="Border Thin 2" xfId="105"/>
    <cellStyle name="British Pound" xfId="106"/>
    <cellStyle name="British Pound 2" xfId="107"/>
    <cellStyle name="Calc Currency (0)" xfId="108"/>
    <cellStyle name="Calc Currency (0) 2" xfId="109"/>
    <cellStyle name="Calcul 2" xfId="110"/>
    <cellStyle name="Calculated" xfId="111"/>
    <cellStyle name="Calculated 2" xfId="112"/>
    <cellStyle name="Cellule liée 2" xfId="113"/>
    <cellStyle name="Century" xfId="114"/>
    <cellStyle name="Column Headings" xfId="115"/>
    <cellStyle name="Coma1" xfId="116"/>
    <cellStyle name="Coma1 2" xfId="117"/>
    <cellStyle name="Comma [0]_1995" xfId="118"/>
    <cellStyle name="Comma [1]" xfId="119"/>
    <cellStyle name="Comma [1] 2" xfId="120"/>
    <cellStyle name="Comma [2]" xfId="121"/>
    <cellStyle name="Comma [2] 2" xfId="122"/>
    <cellStyle name="Comma [3]" xfId="123"/>
    <cellStyle name="Comma [3] 2" xfId="124"/>
    <cellStyle name="Comma, 1 dec" xfId="125"/>
    <cellStyle name="Comma, 1 dec 2" xfId="126"/>
    <cellStyle name="Comma_1995" xfId="127"/>
    <cellStyle name="Comma0" xfId="128"/>
    <cellStyle name="Comma0 2" xfId="129"/>
    <cellStyle name="Commentaire 2" xfId="130"/>
    <cellStyle name="Company Name" xfId="131"/>
    <cellStyle name="Company Name 2" xfId="132"/>
    <cellStyle name="Control Check" xfId="133"/>
    <cellStyle name="Copied_Input" xfId="134"/>
    <cellStyle name="Cover Date" xfId="135"/>
    <cellStyle name="Cover Subtitle" xfId="136"/>
    <cellStyle name="Cover Title" xfId="137"/>
    <cellStyle name="Currency [0]_1995" xfId="138"/>
    <cellStyle name="Currency [1]" xfId="139"/>
    <cellStyle name="Currency [1] 2" xfId="140"/>
    <cellStyle name="Currency [2]" xfId="141"/>
    <cellStyle name="Currency [2] 2" xfId="142"/>
    <cellStyle name="Currency [3]" xfId="143"/>
    <cellStyle name="Currency [3] 2" xfId="144"/>
    <cellStyle name="Currency_1995" xfId="145"/>
    <cellStyle name="Currency0" xfId="146"/>
    <cellStyle name="Currency0 2" xfId="147"/>
    <cellStyle name="Currsmall" xfId="148"/>
    <cellStyle name="D0LARES" xfId="149"/>
    <cellStyle name="D0LARES 2" xfId="150"/>
    <cellStyle name="Data Link" xfId="151"/>
    <cellStyle name="Data Link 2" xfId="152"/>
    <cellStyle name="Data_Calculation" xfId="153"/>
    <cellStyle name="Date" xfId="154"/>
    <cellStyle name="Date [mmm-yy]" xfId="155"/>
    <cellStyle name="Date [mmm-yy] 2" xfId="156"/>
    <cellStyle name="Date 2" xfId="157"/>
    <cellStyle name="Date_02 - Synthèse Wanadoo" xfId="158"/>
    <cellStyle name="Datum" xfId="159"/>
    <cellStyle name="Datum 2" xfId="160"/>
    <cellStyle name="decim" xfId="161"/>
    <cellStyle name="decimal" xfId="162"/>
    <cellStyle name="decimal 2" xfId="163"/>
    <cellStyle name="DeltaCumul" xfId="164"/>
    <cellStyle name="Dezimal [0]_Formular (2)" xfId="165"/>
    <cellStyle name="Dezimal_airt-rev" xfId="166"/>
    <cellStyle name="Dia" xfId="167"/>
    <cellStyle name="Dia 2" xfId="168"/>
    <cellStyle name="Dollar" xfId="169"/>
    <cellStyle name="Dollars" xfId="170"/>
    <cellStyle name="Dollars 2" xfId="171"/>
    <cellStyle name="Double Accounting" xfId="172"/>
    <cellStyle name="Download" xfId="173"/>
    <cellStyle name="Encabez1" xfId="174"/>
    <cellStyle name="Encabez1 2" xfId="175"/>
    <cellStyle name="Encabez2" xfId="176"/>
    <cellStyle name="Encabez2 2" xfId="177"/>
    <cellStyle name="ent" xfId="178"/>
    <cellStyle name="En-tête 1" xfId="179"/>
    <cellStyle name="En-tête 1 2" xfId="180"/>
    <cellStyle name="En-tête 2" xfId="181"/>
    <cellStyle name="En-tête 2 2" xfId="182"/>
    <cellStyle name="Entier court" xfId="183"/>
    <cellStyle name="entrada" xfId="184"/>
    <cellStyle name="entrada 2" xfId="185"/>
    <cellStyle name="Entrée 2" xfId="186"/>
    <cellStyle name="ERX_2GE" xfId="187"/>
    <cellStyle name="Euro" xfId="188"/>
    <cellStyle name="Euro 2" xfId="189"/>
    <cellStyle name="EY House" xfId="190"/>
    <cellStyle name="Fijo" xfId="191"/>
    <cellStyle name="Fijo 2" xfId="192"/>
    <cellStyle name="Financier0" xfId="193"/>
    <cellStyle name="Financier0 2" xfId="194"/>
    <cellStyle name="Financiero" xfId="195"/>
    <cellStyle name="Financiero 2" xfId="196"/>
    <cellStyle name="Fixed" xfId="197"/>
    <cellStyle name="Fixed 2" xfId="198"/>
    <cellStyle name="Fixlong" xfId="199"/>
    <cellStyle name="Fixlong 2" xfId="200"/>
    <cellStyle name="Footer SBILogo1" xfId="201"/>
    <cellStyle name="Footer SBILogo2" xfId="202"/>
    <cellStyle name="Footnote" xfId="203"/>
    <cellStyle name="Footnote Reference" xfId="204"/>
    <cellStyle name="Formula" xfId="205"/>
    <cellStyle name="Formula 2" xfId="206"/>
    <cellStyle name="from Input Sheet" xfId="207"/>
    <cellStyle name="From Project Models" xfId="208"/>
    <cellStyle name="From Project Models 2" xfId="209"/>
    <cellStyle name="G10" xfId="210"/>
    <cellStyle name="G10 2" xfId="211"/>
    <cellStyle name="Grey" xfId="212"/>
    <cellStyle name="Grey 2" xfId="213"/>
    <cellStyle name="H 2" xfId="214"/>
    <cellStyle name="hard no." xfId="215"/>
    <cellStyle name="hard no. 2" xfId="216"/>
    <cellStyle name="Header" xfId="217"/>
    <cellStyle name="Header Draft Stamp" xfId="218"/>
    <cellStyle name="Header_Back up forecast 02" xfId="219"/>
    <cellStyle name="Header1" xfId="220"/>
    <cellStyle name="Header2" xfId="221"/>
    <cellStyle name="header3" xfId="222"/>
    <cellStyle name="header3 2" xfId="223"/>
    <cellStyle name="Heading" xfId="224"/>
    <cellStyle name="Heading 1" xfId="225"/>
    <cellStyle name="Heading 1 Above" xfId="226"/>
    <cellStyle name="Heading 1_BP HE 25-05-07" xfId="227"/>
    <cellStyle name="Heading 1+" xfId="228"/>
    <cellStyle name="Heading 2" xfId="229"/>
    <cellStyle name="Heading 2 Below" xfId="230"/>
    <cellStyle name="Heading 2 Below 2" xfId="231"/>
    <cellStyle name="Heading 2_BP HE 25-05-07" xfId="232"/>
    <cellStyle name="Heading 2+" xfId="233"/>
    <cellStyle name="Heading 3" xfId="234"/>
    <cellStyle name="Heading 3+" xfId="235"/>
    <cellStyle name="Heading1" xfId="236"/>
    <cellStyle name="Heading1 2" xfId="237"/>
    <cellStyle name="Heading2" xfId="238"/>
    <cellStyle name="hidden" xfId="239"/>
    <cellStyle name="hidden 2" xfId="240"/>
    <cellStyle name="Highlight" xfId="241"/>
    <cellStyle name="Hipervínculo visitado_Formato1" xfId="242"/>
    <cellStyle name="Hipervínculo_Formato1" xfId="243"/>
    <cellStyle name="Hyperlink_Financial Information Feb15_02" xfId="244"/>
    <cellStyle name="Input" xfId="245"/>
    <cellStyle name="Input [yellow]" xfId="246"/>
    <cellStyle name="Input [yellow] 2" xfId="247"/>
    <cellStyle name="Input 2" xfId="248"/>
    <cellStyle name="Input Cells" xfId="249"/>
    <cellStyle name="Input Normal" xfId="250"/>
    <cellStyle name="Input Normal 2" xfId="251"/>
    <cellStyle name="Input Percent" xfId="252"/>
    <cellStyle name="Input Percent 2" xfId="253"/>
    <cellStyle name="input value" xfId="254"/>
    <cellStyle name="input value 2" xfId="255"/>
    <cellStyle name="Input_807 Prévalo Mini NRA ZO PPP 33" xfId="256"/>
    <cellStyle name="Input1" xfId="257"/>
    <cellStyle name="Input1 2" xfId="258"/>
    <cellStyle name="Input2" xfId="259"/>
    <cellStyle name="Input2 2" xfId="260"/>
    <cellStyle name="InputCurrency" xfId="261"/>
    <cellStyle name="InputNormal" xfId="262"/>
    <cellStyle name="Inputs" xfId="263"/>
    <cellStyle name="Inputs2" xfId="264"/>
    <cellStyle name="Insatisfaisant 2" xfId="265"/>
    <cellStyle name="item2" xfId="266"/>
    <cellStyle name="item2 2" xfId="267"/>
    <cellStyle name="Jason" xfId="268"/>
    <cellStyle name="Jason 2" xfId="269"/>
    <cellStyle name="Javier" xfId="270"/>
    <cellStyle name="Javier 2" xfId="271"/>
    <cellStyle name="K_Dollar" xfId="272"/>
    <cellStyle name="K_Euro" xfId="273"/>
    <cellStyle name="K_Euro_Delta" xfId="274"/>
    <cellStyle name="Komma [0]_Assumptions" xfId="275"/>
    <cellStyle name="Komma_Assumptions" xfId="276"/>
    <cellStyle name="Link" xfId="277"/>
    <cellStyle name="Link 2" xfId="278"/>
    <cellStyle name="Linked Cells" xfId="279"/>
    <cellStyle name="m1" xfId="280"/>
    <cellStyle name="m1 2" xfId="281"/>
    <cellStyle name="Migliaia (0)_1_netsi9" xfId="282"/>
    <cellStyle name="Migliaia_1_netsi9" xfId="283"/>
    <cellStyle name="Millares [0]_0201VRV0411-4 Uni2 (Mantenimiento global)" xfId="284"/>
    <cellStyle name="Millares [00]" xfId="285"/>
    <cellStyle name="Millares_0201VRV0411-4 Uni2 (Mantenimiento global)" xfId="286"/>
    <cellStyle name="Milliers" xfId="1" builtinId="3"/>
    <cellStyle name="Milliers 2" xfId="5"/>
    <cellStyle name="Milliers 3" xfId="287"/>
    <cellStyle name="Milliers 3 2" xfId="288"/>
    <cellStyle name="Milliers 4" xfId="289"/>
    <cellStyle name="Milliers 6" xfId="290"/>
    <cellStyle name="Milliers 6 2" xfId="291"/>
    <cellStyle name="Milliers PERSO" xfId="292"/>
    <cellStyle name="Milliers PERSO 2" xfId="293"/>
    <cellStyle name="mod1" xfId="294"/>
    <cellStyle name="Model_Calculation" xfId="295"/>
    <cellStyle name="modelo1" xfId="296"/>
    <cellStyle name="Moeda [0]_CFADS.xls Gráfico 1" xfId="297"/>
    <cellStyle name="Moeda_CFADS.xls Gráfico 1" xfId="298"/>
    <cellStyle name="Moneda [0]_0201VRV0411-4 Uni2 (Mantenimiento global)" xfId="299"/>
    <cellStyle name="Moneda_0201VRV0411-4 Uni2 (Mantenimiento global)" xfId="300"/>
    <cellStyle name="Monétaire" xfId="6" builtinId="4"/>
    <cellStyle name="Monetaire [0]_Large" xfId="301"/>
    <cellStyle name="Monetaire_Large" xfId="302"/>
    <cellStyle name="Monétaire0" xfId="303"/>
    <cellStyle name="Monétaire0 2" xfId="304"/>
    <cellStyle name="Monetario" xfId="305"/>
    <cellStyle name="Monetario 2" xfId="306"/>
    <cellStyle name="Multiple" xfId="307"/>
    <cellStyle name="Multiple [1]" xfId="308"/>
    <cellStyle name="Multiple [1] 2" xfId="309"/>
    <cellStyle name="Multiple 2" xfId="310"/>
    <cellStyle name="Multiple_02 - Synthèse Wanadoo" xfId="311"/>
    <cellStyle name="n" xfId="312"/>
    <cellStyle name="n 2" xfId="313"/>
    <cellStyle name="n_02 - Synthèse Wanadoo" xfId="314"/>
    <cellStyle name="n_02 - Synthèse Wanadoo 2" xfId="315"/>
    <cellStyle name="n_Flash September eresMas" xfId="316"/>
    <cellStyle name="n_Flash September eresMas 2" xfId="317"/>
    <cellStyle name="n_Flash September eresMas_02 - Synthèse Wanadoo" xfId="318"/>
    <cellStyle name="n_Flash September eresMas_02 - Synthèse Wanadoo 2" xfId="319"/>
    <cellStyle name="Name" xfId="320"/>
    <cellStyle name="Nb" xfId="321"/>
    <cellStyle name="Neutre 2" xfId="322"/>
    <cellStyle name="Never Changes" xfId="323"/>
    <cellStyle name="no dec" xfId="324"/>
    <cellStyle name="no dec 2" xfId="325"/>
    <cellStyle name="NORAYAS" xfId="326"/>
    <cellStyle name="Normal" xfId="0" builtinId="0"/>
    <cellStyle name="Normal - Style1" xfId="327"/>
    <cellStyle name="Normal - Style1 2" xfId="328"/>
    <cellStyle name="Normal 2" xfId="3"/>
    <cellStyle name="Normal 2 2" xfId="329"/>
    <cellStyle name="Normal 2 3" xfId="330"/>
    <cellStyle name="Normal 2_tvx-site" xfId="331"/>
    <cellStyle name="Normal 3" xfId="332"/>
    <cellStyle name="Normal 3 2" xfId="333"/>
    <cellStyle name="Normal 4" xfId="334"/>
    <cellStyle name="Normal 4 2" xfId="335"/>
    <cellStyle name="Normal 5" xfId="336"/>
    <cellStyle name="Normal 5 2" xfId="337"/>
    <cellStyle name="Normal 6" xfId="338"/>
    <cellStyle name="Normal 6 2" xfId="339"/>
    <cellStyle name="Normal 7" xfId="340"/>
    <cellStyle name="Normal 7 2" xfId="341"/>
    <cellStyle name="Normal 8" xfId="342"/>
    <cellStyle name="Normal 9" xfId="343"/>
    <cellStyle name="Normale_1_netsi9" xfId="344"/>
    <cellStyle name="NormalHelv" xfId="345"/>
    <cellStyle name="Normalny_Ferrum . Valuation . CA IB . 8 " xfId="346"/>
    <cellStyle name="number" xfId="347"/>
    <cellStyle name="Œ…‹æØ‚è [0.00]_Region Orders (2)" xfId="348"/>
    <cellStyle name="Œ…‹æØ‚è_Region Orders (2)" xfId="349"/>
    <cellStyle name="Onedec" xfId="350"/>
    <cellStyle name="Out_range" xfId="351"/>
    <cellStyle name="Output Amounts" xfId="352"/>
    <cellStyle name="Output Amounts 2" xfId="353"/>
    <cellStyle name="Output Line Items" xfId="354"/>
    <cellStyle name="Output Line Items 2" xfId="355"/>
    <cellStyle name="OverHead" xfId="356"/>
    <cellStyle name="OverHead 2" xfId="357"/>
    <cellStyle name="P&amp;L Numbers" xfId="358"/>
    <cellStyle name="Page Heading" xfId="359"/>
    <cellStyle name="Page Heading 2" xfId="360"/>
    <cellStyle name="Page Heading Large" xfId="361"/>
    <cellStyle name="Page Heading Large 2" xfId="362"/>
    <cellStyle name="Page Heading Small" xfId="363"/>
    <cellStyle name="Page Heading Small 2" xfId="364"/>
    <cellStyle name="Page Heading_02 - Synthèse Wanadoo" xfId="365"/>
    <cellStyle name="Page Number" xfId="366"/>
    <cellStyle name="pc1" xfId="367"/>
    <cellStyle name="pc1 2" xfId="368"/>
    <cellStyle name="pcent" xfId="369"/>
    <cellStyle name="pcent 2" xfId="370"/>
    <cellStyle name="pct_sub" xfId="371"/>
    <cellStyle name="per.style" xfId="372"/>
    <cellStyle name="per.style 2" xfId="373"/>
    <cellStyle name="Percent [0%]" xfId="374"/>
    <cellStyle name="Percent [0%] 2" xfId="375"/>
    <cellStyle name="Percent [0.00%]" xfId="376"/>
    <cellStyle name="Percent [0.00%] 2" xfId="377"/>
    <cellStyle name="Percent [0]" xfId="378"/>
    <cellStyle name="Percent [0] 2" xfId="379"/>
    <cellStyle name="Percent [1]" xfId="380"/>
    <cellStyle name="Percent [1] 2" xfId="381"/>
    <cellStyle name="Percent [2]" xfId="382"/>
    <cellStyle name="Percent [2] 2" xfId="383"/>
    <cellStyle name="Percent Hard" xfId="384"/>
    <cellStyle name="Percent Hard 2" xfId="385"/>
    <cellStyle name="Percent_Analysis for Presentation" xfId="386"/>
    <cellStyle name="Perlong" xfId="387"/>
    <cellStyle name="Personnalisé" xfId="388"/>
    <cellStyle name="Personnalisé 2" xfId="389"/>
    <cellStyle name="PLAN1" xfId="390"/>
    <cellStyle name="Porcentaje" xfId="391"/>
    <cellStyle name="Porcentaje 2" xfId="392"/>
    <cellStyle name="Pounds" xfId="393"/>
    <cellStyle name="Pounds (0)" xfId="394"/>
    <cellStyle name="Pounds (0) 2" xfId="395"/>
    <cellStyle name="Pounds 2" xfId="396"/>
    <cellStyle name="Pounds_02 - Synthèse Wanadoo" xfId="397"/>
    <cellStyle name="Pourcentage" xfId="2" builtinId="5"/>
    <cellStyle name="Pourcentage 2" xfId="398"/>
    <cellStyle name="Pourcentage 2 2" xfId="399"/>
    <cellStyle name="Pourcentage 3" xfId="4"/>
    <cellStyle name="Pourcentage 4" xfId="400"/>
    <cellStyle name="Pourcentage,0%" xfId="401"/>
    <cellStyle name="Price" xfId="402"/>
    <cellStyle name="Price  .00" xfId="403"/>
    <cellStyle name="Price  .00 2" xfId="404"/>
    <cellStyle name="Price 2" xfId="405"/>
    <cellStyle name="Price_PERSONAL" xfId="406"/>
    <cellStyle name="Private" xfId="407"/>
    <cellStyle name="Private1" xfId="408"/>
    <cellStyle name="Private1 2" xfId="409"/>
    <cellStyle name="PropGenCurrencyFormat" xfId="410"/>
    <cellStyle name="PropGenCurrencyFormat 2" xfId="411"/>
    <cellStyle name="Prozent_Anadat" xfId="412"/>
    <cellStyle name="Qté calculées" xfId="413"/>
    <cellStyle name="QTé entrées" xfId="414"/>
    <cellStyle name="Qty" xfId="415"/>
    <cellStyle name="Quantity" xfId="416"/>
    <cellStyle name="Quantity 2" xfId="417"/>
    <cellStyle name="Rack_kit" xfId="418"/>
    <cellStyle name="results" xfId="419"/>
    <cellStyle name="Results % 3 dp" xfId="420"/>
    <cellStyle name="Results % 3 dp 2" xfId="421"/>
    <cellStyle name="results 2" xfId="422"/>
    <cellStyle name="Results 3 dp" xfId="423"/>
    <cellStyle name="Results 3 dp 2" xfId="424"/>
    <cellStyle name="results_02 - Synthèse Wanadoo" xfId="425"/>
    <cellStyle name="Right" xfId="426"/>
    <cellStyle name="Right 2" xfId="427"/>
    <cellStyle name="rouge" xfId="428"/>
    <cellStyle name="Row Headings" xfId="429"/>
    <cellStyle name="Satisfaisant 2" xfId="430"/>
    <cellStyle name="Section name" xfId="431"/>
    <cellStyle name="Section name 2" xfId="432"/>
    <cellStyle name="Sensitivity" xfId="433"/>
    <cellStyle name="Sensitivity 2" xfId="434"/>
    <cellStyle name="Separador de milhares [0]_IGP-M" xfId="435"/>
    <cellStyle name="Separador de milhares_IGP-M" xfId="436"/>
    <cellStyle name="Shaded" xfId="437"/>
    <cellStyle name="Shaded 2" xfId="438"/>
    <cellStyle name="Single Accounting" xfId="439"/>
    <cellStyle name="Single Accounting 2" xfId="440"/>
    <cellStyle name="SMS" xfId="441"/>
    <cellStyle name="Sortie 2" xfId="442"/>
    <cellStyle name="Spreadsheet title" xfId="443"/>
    <cellStyle name="Spreadsheet title 2" xfId="444"/>
    <cellStyle name="Standaard_Assumptions" xfId="445"/>
    <cellStyle name="Standard_airt-rev" xfId="446"/>
    <cellStyle name="style" xfId="447"/>
    <cellStyle name="Style 1" xfId="448"/>
    <cellStyle name="Style 2" xfId="449"/>
    <cellStyle name="Style 3" xfId="450"/>
    <cellStyle name="style 4" xfId="451"/>
    <cellStyle name="style1" xfId="452"/>
    <cellStyle name="style1 2" xfId="453"/>
    <cellStyle name="style2" xfId="454"/>
    <cellStyle name="style2 2" xfId="455"/>
    <cellStyle name="subcalc" xfId="456"/>
    <cellStyle name="subcalc 2" xfId="457"/>
    <cellStyle name="Sum" xfId="458"/>
    <cellStyle name="Sum 2" xfId="459"/>
    <cellStyle name="Summary" xfId="460"/>
    <cellStyle name="Table Col Head" xfId="461"/>
    <cellStyle name="Table Head" xfId="462"/>
    <cellStyle name="Table Source" xfId="463"/>
    <cellStyle name="Table Sub Head" xfId="464"/>
    <cellStyle name="Table Text" xfId="465"/>
    <cellStyle name="Table Text 2" xfId="466"/>
    <cellStyle name="Table Title" xfId="467"/>
    <cellStyle name="Table Units" xfId="468"/>
    <cellStyle name="TableBase" xfId="469"/>
    <cellStyle name="TableHead" xfId="470"/>
    <cellStyle name="test" xfId="471"/>
    <cellStyle name="Text" xfId="472"/>
    <cellStyle name="Text 1" xfId="473"/>
    <cellStyle name="Text 2" xfId="474"/>
    <cellStyle name="Text Head 1" xfId="475"/>
    <cellStyle name="Text Head 2" xfId="476"/>
    <cellStyle name="Text Indent 1" xfId="477"/>
    <cellStyle name="Text Indent 2" xfId="478"/>
    <cellStyle name="Texte explicatif 2" xfId="479"/>
    <cellStyle name="þ_x001d_ð &amp;ý&amp;†ýG_x0008_€_x0009_X_x000a__x0007__x0001__x0001_" xfId="480"/>
    <cellStyle name="þ_x001d_ð &amp;ý&amp;†ýG_x0008_€_x0009_X_x000a__x0007__x0001__x0001_ 2" xfId="481"/>
    <cellStyle name="Thousand" xfId="482"/>
    <cellStyle name="Thousand[0]" xfId="483"/>
    <cellStyle name="Thousand_FTPLISS8" xfId="484"/>
    <cellStyle name="Time" xfId="485"/>
    <cellStyle name="Time 2" xfId="486"/>
    <cellStyle name="Times 10" xfId="487"/>
    <cellStyle name="Times 10 2" xfId="488"/>
    <cellStyle name="Times 12" xfId="489"/>
    <cellStyle name="Title" xfId="490"/>
    <cellStyle name="Titles" xfId="491"/>
    <cellStyle name="Titles 2" xfId="492"/>
    <cellStyle name="Titre 1" xfId="493"/>
    <cellStyle name="Titre 2" xfId="494"/>
    <cellStyle name="Titre 3" xfId="495"/>
    <cellStyle name="Titre 1 2" xfId="496"/>
    <cellStyle name="Titre 2 2" xfId="497"/>
    <cellStyle name="Titre 3 2" xfId="498"/>
    <cellStyle name="Titre 4 2" xfId="499"/>
    <cellStyle name="titre1" xfId="500"/>
    <cellStyle name="titre1 2" xfId="501"/>
    <cellStyle name="Titre2" xfId="502"/>
    <cellStyle name="Titre2 2" xfId="503"/>
    <cellStyle name="titre4" xfId="504"/>
    <cellStyle name="titre4 2" xfId="505"/>
    <cellStyle name="Titres" xfId="506"/>
    <cellStyle name="Titres 2" xfId="507"/>
    <cellStyle name="To Financials" xfId="508"/>
    <cellStyle name="To Financials 2" xfId="509"/>
    <cellStyle name="To_Financial_statements" xfId="510"/>
    <cellStyle name="TOC 1" xfId="511"/>
    <cellStyle name="TOC 2" xfId="512"/>
    <cellStyle name="Tocopilla" xfId="513"/>
    <cellStyle name="Total 2" xfId="514"/>
    <cellStyle name="Uhrzeit" xfId="515"/>
    <cellStyle name="Uhrzeit 2" xfId="516"/>
    <cellStyle name="Undefined" xfId="517"/>
    <cellStyle name="UNITS" xfId="518"/>
    <cellStyle name="UNITS 2" xfId="519"/>
    <cellStyle name="Unprot" xfId="520"/>
    <cellStyle name="Unprot 2" xfId="521"/>
    <cellStyle name="Unprot$" xfId="522"/>
    <cellStyle name="Unprot$ 2" xfId="523"/>
    <cellStyle name="Unprot_COPE DIS Sep 14" xfId="524"/>
    <cellStyle name="Unprotect" xfId="525"/>
    <cellStyle name="Unprotect 2" xfId="526"/>
    <cellStyle name="Valuta (0)_1_netsi9" xfId="527"/>
    <cellStyle name="Valuta [0]_Assumptions" xfId="528"/>
    <cellStyle name="Valuta_1_netsi9" xfId="529"/>
    <cellStyle name="Vérification 2" xfId="530"/>
    <cellStyle name="Vertex42 Style" xfId="531"/>
    <cellStyle name="Vide" xfId="532"/>
    <cellStyle name="Vide 2" xfId="533"/>
    <cellStyle name="Virgule fixe" xfId="534"/>
    <cellStyle name="Virgule fixe 2" xfId="535"/>
    <cellStyle name="W?hrung [0]_NEGS" xfId="536"/>
    <cellStyle name="W?hrung_NEGS" xfId="537"/>
    <cellStyle name="Währung [0]_IPIS-generique" xfId="538"/>
    <cellStyle name="Währung_airt-rev" xfId="539"/>
    <cellStyle name="White" xfId="540"/>
    <cellStyle name="White 2" xfId="541"/>
    <cellStyle name="WhitePattern" xfId="542"/>
    <cellStyle name="WhitePattern1" xfId="543"/>
    <cellStyle name="WhiteText" xfId="544"/>
    <cellStyle name="WhiteText 2" xfId="545"/>
    <cellStyle name="Year" xfId="546"/>
    <cellStyle name="Year 2" xfId="547"/>
    <cellStyle name="Yen" xfId="548"/>
    <cellStyle name="Yen 2" xfId="549"/>
    <cellStyle name="콤마 [0]_Pricing" xfId="550"/>
    <cellStyle name="一般_P&amp;L_AW" xfId="551"/>
    <cellStyle name="桁区切り [0.00]_ASCOT_Assumption_4" xfId="552"/>
    <cellStyle name="桁区切り_Book3" xfId="553"/>
    <cellStyle name="標準_ASCOT_Assumption_4" xfId="554"/>
    <cellStyle name="通貨 [0.00]_Forecast Issue 4b sent 31_01_99" xfId="555"/>
    <cellStyle name="通貨_Forecast Issue 4b sent 31_01_99" xfId="55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auto="1"/>
          <bgColor rgb="FFFF0000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00FF"/>
      <color rgb="FFCC0000"/>
      <color rgb="FFFF505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bord'!$A$42</c:f>
              <c:strCache>
                <c:ptCount val="1"/>
                <c:pt idx="0">
                  <c:v>Coefficient ex-post :</c:v>
                </c:pt>
              </c:strCache>
            </c:strRef>
          </c:tx>
          <c:marker>
            <c:symbol val="none"/>
          </c:marker>
          <c:val>
            <c:numRef>
              <c:f>'Tableau de bord'!$C$42:$AZ$42</c:f>
              <c:numCache>
                <c:formatCode>0.00</c:formatCode>
                <c:ptCount val="50"/>
                <c:pt idx="0">
                  <c:v>1</c:v>
                </c:pt>
                <c:pt idx="1">
                  <c:v>1.1210580162503534</c:v>
                </c:pt>
                <c:pt idx="2">
                  <c:v>1.2471638346360345</c:v>
                </c:pt>
                <c:pt idx="3">
                  <c:v>1.3740457802738204</c:v>
                </c:pt>
                <c:pt idx="4">
                  <c:v>1.4333087542720564</c:v>
                </c:pt>
                <c:pt idx="5">
                  <c:v>1.4764717733760253</c:v>
                </c:pt>
                <c:pt idx="6">
                  <c:v>1.5020597478330207</c:v>
                </c:pt>
                <c:pt idx="7">
                  <c:v>1.5112620537116042</c:v>
                </c:pt>
                <c:pt idx="8">
                  <c:v>1.5073693829384929</c:v>
                </c:pt>
                <c:pt idx="9">
                  <c:v>1.490804748313969</c:v>
                </c:pt>
                <c:pt idx="10">
                  <c:v>1.4632513551263955</c:v>
                </c:pt>
                <c:pt idx="11">
                  <c:v>1.4255914405609986</c:v>
                </c:pt>
                <c:pt idx="12">
                  <c:v>1.3794232998693141</c:v>
                </c:pt>
                <c:pt idx="13">
                  <c:v>1.3267015448220636</c:v>
                </c:pt>
                <c:pt idx="14">
                  <c:v>1.2660314301666338</c:v>
                </c:pt>
                <c:pt idx="15">
                  <c:v>1.1977761634664439</c:v>
                </c:pt>
                <c:pt idx="16">
                  <c:v>1.1218677624652438</c:v>
                </c:pt>
                <c:pt idx="17">
                  <c:v>1.0369922218188041</c:v>
                </c:pt>
                <c:pt idx="18">
                  <c:v>0.94398683026173091</c:v>
                </c:pt>
                <c:pt idx="19">
                  <c:v>0.84089415408869839</c:v>
                </c:pt>
                <c:pt idx="20">
                  <c:v>0.72855235000367535</c:v>
                </c:pt>
                <c:pt idx="21">
                  <c:v>0.60542103031784844</c:v>
                </c:pt>
                <c:pt idx="22">
                  <c:v>0.47125352269529941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67904"/>
        <c:axId val="107216896"/>
      </c:lineChart>
      <c:catAx>
        <c:axId val="12786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16896"/>
        <c:crosses val="autoZero"/>
        <c:auto val="1"/>
        <c:lblAlgn val="ctr"/>
        <c:lblOffset val="100"/>
        <c:noMultiLvlLbl val="0"/>
      </c:catAx>
      <c:valAx>
        <c:axId val="107216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86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Lignes programmées (en flux unitaires) :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bord'!$B$19</c:f>
              <c:strCache>
                <c:ptCount val="1"/>
                <c:pt idx="0">
                  <c:v>Exemple 1</c:v>
                </c:pt>
              </c:strCache>
            </c:strRef>
          </c:tx>
          <c:marker>
            <c:symbol val="none"/>
          </c:marker>
          <c:val>
            <c:numRef>
              <c:f>'Tableau de bord'!$C$19:$L$19</c:f>
              <c:numCache>
                <c:formatCode>_-* #,##0\ _€_-;\-* #,##0\ _€_-;_-* "-"??\ _€_-;_-@_-</c:formatCode>
                <c:ptCount val="10"/>
                <c:pt idx="0">
                  <c:v>8000</c:v>
                </c:pt>
                <c:pt idx="1">
                  <c:v>13000</c:v>
                </c:pt>
                <c:pt idx="2">
                  <c:v>15000</c:v>
                </c:pt>
                <c:pt idx="3">
                  <c:v>16000</c:v>
                </c:pt>
                <c:pt idx="4">
                  <c:v>15000</c:v>
                </c:pt>
                <c:pt idx="5">
                  <c:v>13000</c:v>
                </c:pt>
                <c:pt idx="6">
                  <c:v>9000</c:v>
                </c:pt>
                <c:pt idx="7">
                  <c:v>8000</c:v>
                </c:pt>
                <c:pt idx="8">
                  <c:v>3000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de bord'!$B$20</c:f>
              <c:strCache>
                <c:ptCount val="1"/>
                <c:pt idx="0">
                  <c:v>Exemple 2</c:v>
                </c:pt>
              </c:strCache>
            </c:strRef>
          </c:tx>
          <c:marker>
            <c:symbol val="none"/>
          </c:marker>
          <c:val>
            <c:numRef>
              <c:f>'Tableau de bord'!$C$20:$L$20</c:f>
              <c:numCache>
                <c:formatCode>_-* #,##0\ _€_-;\-* #,##0\ _€_-;_-* "-"??\ _€_-;_-@_-</c:formatCode>
                <c:ptCount val="10"/>
                <c:pt idx="0">
                  <c:v>3000</c:v>
                </c:pt>
                <c:pt idx="1">
                  <c:v>8000</c:v>
                </c:pt>
                <c:pt idx="2">
                  <c:v>10000</c:v>
                </c:pt>
                <c:pt idx="3">
                  <c:v>13000</c:v>
                </c:pt>
                <c:pt idx="4">
                  <c:v>15000</c:v>
                </c:pt>
                <c:pt idx="5">
                  <c:v>16000</c:v>
                </c:pt>
                <c:pt idx="6">
                  <c:v>13000</c:v>
                </c:pt>
                <c:pt idx="7">
                  <c:v>11000</c:v>
                </c:pt>
                <c:pt idx="8">
                  <c:v>8000</c:v>
                </c:pt>
                <c:pt idx="9">
                  <c:v>3000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'Tableau de bord'!$B$21</c:f>
              <c:strCache>
                <c:ptCount val="1"/>
                <c:pt idx="0">
                  <c:v>Opérateur</c:v>
                </c:pt>
              </c:strCache>
            </c:strRef>
          </c:tx>
          <c:marker>
            <c:symbol val="none"/>
          </c:marker>
          <c:val>
            <c:numRef>
              <c:f>'Tableau de bord'!$C$21:$L$21</c:f>
              <c:numCache>
                <c:formatCode>_-* #,##0\ _€_-;\-* #,##0\ _€_-;_-* "-"??\ _€_-;_-@_-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68416"/>
        <c:axId val="107218048"/>
      </c:lineChart>
      <c:catAx>
        <c:axId val="127868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218048"/>
        <c:crosses val="autoZero"/>
        <c:auto val="1"/>
        <c:lblAlgn val="ctr"/>
        <c:lblOffset val="100"/>
        <c:noMultiLvlLbl val="0"/>
      </c:catAx>
      <c:valAx>
        <c:axId val="107218048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1278684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Lignes raccordables (en flux unitaires) :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bord'!$B$29</c:f>
              <c:strCache>
                <c:ptCount val="1"/>
                <c:pt idx="0">
                  <c:v>Modélisées</c:v>
                </c:pt>
              </c:strCache>
            </c:strRef>
          </c:tx>
          <c:marker>
            <c:symbol val="none"/>
          </c:marker>
          <c:val>
            <c:numRef>
              <c:f>'Tableau de bord'!$C$29:$Q$29</c:f>
              <c:numCache>
                <c:formatCode>_-* #,##0\ _€_-;\-* #,##0\ _€_-;_-* "-"??\ _€_-;_-@_-</c:formatCode>
                <c:ptCount val="15"/>
                <c:pt idx="0">
                  <c:v>3200</c:v>
                </c:pt>
                <c:pt idx="1">
                  <c:v>7600</c:v>
                </c:pt>
                <c:pt idx="2">
                  <c:v>11100</c:v>
                </c:pt>
                <c:pt idx="3">
                  <c:v>13650</c:v>
                </c:pt>
                <c:pt idx="4">
                  <c:v>14750</c:v>
                </c:pt>
                <c:pt idx="5">
                  <c:v>14250</c:v>
                </c:pt>
                <c:pt idx="6">
                  <c:v>12100</c:v>
                </c:pt>
                <c:pt idx="7">
                  <c:v>10150</c:v>
                </c:pt>
                <c:pt idx="8">
                  <c:v>7000</c:v>
                </c:pt>
                <c:pt idx="9">
                  <c:v>3650</c:v>
                </c:pt>
                <c:pt idx="10">
                  <c:v>1700</c:v>
                </c:pt>
                <c:pt idx="11">
                  <c:v>700</c:v>
                </c:pt>
                <c:pt idx="12">
                  <c:v>150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de bord'!$B$30</c:f>
              <c:strCache>
                <c:ptCount val="1"/>
                <c:pt idx="0">
                  <c:v>Opérateur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'Tableau de bord'!$C$30:$Q$30</c:f>
              <c:numCache>
                <c:formatCode>_-* #,##0\ _€_-;\-* #,##0\ _€_-;_-* "-"??\ _€_-;_-@_-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69760"/>
        <c:axId val="107220352"/>
      </c:lineChart>
      <c:catAx>
        <c:axId val="129269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220352"/>
        <c:crosses val="autoZero"/>
        <c:auto val="1"/>
        <c:lblAlgn val="ctr"/>
        <c:lblOffset val="100"/>
        <c:noMultiLvlLbl val="0"/>
      </c:catAx>
      <c:valAx>
        <c:axId val="107220352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129269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Taux de pénétration (en %) :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bord'!$B$72</c:f>
              <c:strCache>
                <c:ptCount val="1"/>
                <c:pt idx="0">
                  <c:v>Estimation fibre opérateurs</c:v>
                </c:pt>
              </c:strCache>
            </c:strRef>
          </c:tx>
          <c:marker>
            <c:symbol val="none"/>
          </c:marker>
          <c:val>
            <c:numRef>
              <c:f>'Tableau de bord'!$C$72:$BA$72</c:f>
              <c:numCache>
                <c:formatCode>0%</c:formatCode>
                <c:ptCount val="51"/>
                <c:pt idx="0">
                  <c:v>0.11398320704699426</c:v>
                </c:pt>
                <c:pt idx="1">
                  <c:v>0.198349769231731</c:v>
                </c:pt>
                <c:pt idx="2">
                  <c:v>0.28727708681205999</c:v>
                </c:pt>
                <c:pt idx="3">
                  <c:v>0.36319554991696135</c:v>
                </c:pt>
                <c:pt idx="4">
                  <c:v>0.44592876348049615</c:v>
                </c:pt>
                <c:pt idx="5">
                  <c:v>0.53294349012565823</c:v>
                </c:pt>
                <c:pt idx="6">
                  <c:v>0.61305902816009172</c:v>
                </c:pt>
                <c:pt idx="7">
                  <c:v>0.65382263683430863</c:v>
                </c:pt>
                <c:pt idx="8">
                  <c:v>0.69000322167912231</c:v>
                </c:pt>
                <c:pt idx="9">
                  <c:v>0.72237664936835588</c:v>
                </c:pt>
                <c:pt idx="10">
                  <c:v>0.73855120464462765</c:v>
                </c:pt>
                <c:pt idx="11">
                  <c:v>0.75030224114249966</c:v>
                </c:pt>
                <c:pt idx="12">
                  <c:v>0.75965381351725836</c:v>
                </c:pt>
                <c:pt idx="13">
                  <c:v>0.77205735800551212</c:v>
                </c:pt>
                <c:pt idx="14">
                  <c:v>0.7775916420363409</c:v>
                </c:pt>
                <c:pt idx="15">
                  <c:v>0.78883585002935774</c:v>
                </c:pt>
                <c:pt idx="16">
                  <c:v>0.79280852233329346</c:v>
                </c:pt>
                <c:pt idx="17">
                  <c:v>0.80026026751359614</c:v>
                </c:pt>
                <c:pt idx="18">
                  <c:v>0.8049579331479082</c:v>
                </c:pt>
                <c:pt idx="19">
                  <c:v>0.80576362962317571</c:v>
                </c:pt>
                <c:pt idx="20">
                  <c:v>0.80995150791125781</c:v>
                </c:pt>
                <c:pt idx="21">
                  <c:v>0.8103182720747617</c:v>
                </c:pt>
                <c:pt idx="22">
                  <c:v>0.8103182720747617</c:v>
                </c:pt>
                <c:pt idx="23">
                  <c:v>0.8103182720747617</c:v>
                </c:pt>
                <c:pt idx="24">
                  <c:v>0.8103182720747617</c:v>
                </c:pt>
                <c:pt idx="25">
                  <c:v>0.8103182720747617</c:v>
                </c:pt>
                <c:pt idx="26">
                  <c:v>0.8103182720747617</c:v>
                </c:pt>
                <c:pt idx="27">
                  <c:v>0.8103182720747617</c:v>
                </c:pt>
                <c:pt idx="28">
                  <c:v>0.8103182720747617</c:v>
                </c:pt>
                <c:pt idx="29">
                  <c:v>0.8103182720747617</c:v>
                </c:pt>
                <c:pt idx="30">
                  <c:v>0.8103182720747617</c:v>
                </c:pt>
                <c:pt idx="31">
                  <c:v>0.8103182720747617</c:v>
                </c:pt>
                <c:pt idx="32">
                  <c:v>0.8103182720747617</c:v>
                </c:pt>
                <c:pt idx="33">
                  <c:v>0.8103182720747617</c:v>
                </c:pt>
                <c:pt idx="34">
                  <c:v>0.8103182720747617</c:v>
                </c:pt>
                <c:pt idx="35">
                  <c:v>0.8103182720747617</c:v>
                </c:pt>
                <c:pt idx="36">
                  <c:v>0.8103182720747617</c:v>
                </c:pt>
                <c:pt idx="37">
                  <c:v>0.8103182720747617</c:v>
                </c:pt>
                <c:pt idx="38">
                  <c:v>0.8103182720747617</c:v>
                </c:pt>
                <c:pt idx="39">
                  <c:v>0.8103182720747617</c:v>
                </c:pt>
                <c:pt idx="40">
                  <c:v>0.8103182720747617</c:v>
                </c:pt>
                <c:pt idx="41">
                  <c:v>0.8103182720747617</c:v>
                </c:pt>
                <c:pt idx="42">
                  <c:v>0.8103182720747617</c:v>
                </c:pt>
                <c:pt idx="43">
                  <c:v>0.8103182720747617</c:v>
                </c:pt>
                <c:pt idx="44">
                  <c:v>0.8103182720747617</c:v>
                </c:pt>
                <c:pt idx="45">
                  <c:v>0.8103182720747617</c:v>
                </c:pt>
                <c:pt idx="46">
                  <c:v>0.8103182720747617</c:v>
                </c:pt>
                <c:pt idx="47">
                  <c:v>0.8103182720747617</c:v>
                </c:pt>
                <c:pt idx="48">
                  <c:v>0.8103182720747617</c:v>
                </c:pt>
                <c:pt idx="49">
                  <c:v>0.8103182720747617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de bord'!$B$73</c:f>
              <c:strCache>
                <c:ptCount val="1"/>
                <c:pt idx="0">
                  <c:v>DSL (2002-2013)</c:v>
                </c:pt>
              </c:strCache>
            </c:strRef>
          </c:tx>
          <c:marker>
            <c:symbol val="none"/>
          </c:marker>
          <c:val>
            <c:numRef>
              <c:f>'Tableau de bord'!$C$73:$BA$73</c:f>
              <c:numCache>
                <c:formatCode>0%</c:formatCode>
                <c:ptCount val="51"/>
                <c:pt idx="0">
                  <c:v>2.3287816455696202E-2</c:v>
                </c:pt>
                <c:pt idx="1">
                  <c:v>6.8325787974683541E-2</c:v>
                </c:pt>
                <c:pt idx="2">
                  <c:v>0.13493844936708863</c:v>
                </c:pt>
                <c:pt idx="3">
                  <c:v>0.22834949367088608</c:v>
                </c:pt>
                <c:pt idx="4">
                  <c:v>0.3201815490506329</c:v>
                </c:pt>
                <c:pt idx="5">
                  <c:v>0.41276873259493668</c:v>
                </c:pt>
                <c:pt idx="6">
                  <c:v>0.49387738924050634</c:v>
                </c:pt>
                <c:pt idx="7">
                  <c:v>0.55469642405063291</c:v>
                </c:pt>
                <c:pt idx="8">
                  <c:v>0.60899835901898736</c:v>
                </c:pt>
                <c:pt idx="9">
                  <c:v>0.65139578322784808</c:v>
                </c:pt>
                <c:pt idx="10">
                  <c:v>0.68600728639240505</c:v>
                </c:pt>
                <c:pt idx="11">
                  <c:v>0.71</c:v>
                </c:pt>
                <c:pt idx="12">
                  <c:v>0.72237664936835588</c:v>
                </c:pt>
                <c:pt idx="13">
                  <c:v>0.73855120464462765</c:v>
                </c:pt>
                <c:pt idx="14">
                  <c:v>0.75030224114249966</c:v>
                </c:pt>
                <c:pt idx="15">
                  <c:v>0.75965381351725836</c:v>
                </c:pt>
                <c:pt idx="16">
                  <c:v>0.77205735800551212</c:v>
                </c:pt>
                <c:pt idx="17">
                  <c:v>0.7775916420363409</c:v>
                </c:pt>
                <c:pt idx="18">
                  <c:v>0.78883585002935774</c:v>
                </c:pt>
                <c:pt idx="19">
                  <c:v>0.79280852233329346</c:v>
                </c:pt>
                <c:pt idx="20">
                  <c:v>0.80026026751359614</c:v>
                </c:pt>
                <c:pt idx="21">
                  <c:v>0.8049579331479082</c:v>
                </c:pt>
                <c:pt idx="22">
                  <c:v>0.8049579331479082</c:v>
                </c:pt>
                <c:pt idx="23">
                  <c:v>0.8049579331479082</c:v>
                </c:pt>
                <c:pt idx="24">
                  <c:v>0.8049579331479082</c:v>
                </c:pt>
                <c:pt idx="25">
                  <c:v>0.8049579331479082</c:v>
                </c:pt>
                <c:pt idx="26">
                  <c:v>0.8049579331479082</c:v>
                </c:pt>
                <c:pt idx="27">
                  <c:v>0.8049579331479082</c:v>
                </c:pt>
                <c:pt idx="28">
                  <c:v>0.8049579331479082</c:v>
                </c:pt>
                <c:pt idx="29">
                  <c:v>0.8049579331479082</c:v>
                </c:pt>
                <c:pt idx="30">
                  <c:v>0.8049579331479082</c:v>
                </c:pt>
                <c:pt idx="31">
                  <c:v>0.8049579331479082</c:v>
                </c:pt>
                <c:pt idx="32">
                  <c:v>0.8049579331479082</c:v>
                </c:pt>
                <c:pt idx="33">
                  <c:v>0.8049579331479082</c:v>
                </c:pt>
                <c:pt idx="34">
                  <c:v>0.8049579331479082</c:v>
                </c:pt>
                <c:pt idx="35">
                  <c:v>0.8049579331479082</c:v>
                </c:pt>
                <c:pt idx="36">
                  <c:v>0.8049579331479082</c:v>
                </c:pt>
                <c:pt idx="37">
                  <c:v>0.8049579331479082</c:v>
                </c:pt>
                <c:pt idx="38">
                  <c:v>0.8049579331479082</c:v>
                </c:pt>
                <c:pt idx="39">
                  <c:v>0.8049579331479082</c:v>
                </c:pt>
                <c:pt idx="40">
                  <c:v>0.8049579331479082</c:v>
                </c:pt>
                <c:pt idx="41">
                  <c:v>0.8049579331479082</c:v>
                </c:pt>
                <c:pt idx="42">
                  <c:v>0.8049579331479082</c:v>
                </c:pt>
                <c:pt idx="43">
                  <c:v>0.8049579331479082</c:v>
                </c:pt>
                <c:pt idx="44">
                  <c:v>0.8049579331479082</c:v>
                </c:pt>
                <c:pt idx="45">
                  <c:v>0.8049579331479082</c:v>
                </c:pt>
                <c:pt idx="46">
                  <c:v>0.8049579331479082</c:v>
                </c:pt>
                <c:pt idx="47">
                  <c:v>0.8049579331479082</c:v>
                </c:pt>
                <c:pt idx="48">
                  <c:v>0.8049579331479082</c:v>
                </c:pt>
                <c:pt idx="49">
                  <c:v>0.8049579331479082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'Tableau de bord'!$B$75</c:f>
              <c:strCache>
                <c:ptCount val="1"/>
                <c:pt idx="0">
                  <c:v>Opérateur</c:v>
                </c:pt>
              </c:strCache>
            </c:strRef>
          </c:tx>
          <c:marker>
            <c:symbol val="none"/>
          </c:marker>
          <c:val>
            <c:numRef>
              <c:f>'Tableau de bord'!$C$75:$BA$75</c:f>
              <c:numCache>
                <c:formatCode>0%</c:formatCode>
                <c:ptCount val="5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0272"/>
        <c:axId val="107222080"/>
      </c:lineChart>
      <c:catAx>
        <c:axId val="12927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222080"/>
        <c:crosses val="autoZero"/>
        <c:auto val="1"/>
        <c:lblAlgn val="ctr"/>
        <c:lblOffset val="100"/>
        <c:noMultiLvlLbl val="0"/>
      </c:catAx>
      <c:valAx>
        <c:axId val="107222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9270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bord'!$A$123</c:f>
              <c:strCache>
                <c:ptCount val="1"/>
                <c:pt idx="0">
                  <c:v>Investissements totaux (en €) :</c:v>
                </c:pt>
              </c:strCache>
            </c:strRef>
          </c:tx>
          <c:marker>
            <c:symbol val="none"/>
          </c:marker>
          <c:val>
            <c:numRef>
              <c:f>'Tableau de bord'!$C$123:$Q$123</c:f>
              <c:numCache>
                <c:formatCode>_-* #,##0\ "€"_-;\-* #,##0\ "€"_-;_-* "-"??\ "€"_-;_-@_-</c:formatCode>
                <c:ptCount val="15"/>
                <c:pt idx="0">
                  <c:v>2165458.3607580066</c:v>
                </c:pt>
                <c:pt idx="1">
                  <c:v>4402202.6233634716</c:v>
                </c:pt>
                <c:pt idx="2">
                  <c:v>5989873.2872378435</c:v>
                </c:pt>
                <c:pt idx="3">
                  <c:v>7164385.4550032122</c:v>
                </c:pt>
                <c:pt idx="4">
                  <c:v>7590916.2975509465</c:v>
                </c:pt>
                <c:pt idx="5">
                  <c:v>7324870.7236418147</c:v>
                </c:pt>
                <c:pt idx="6">
                  <c:v>6171168.9892721437</c:v>
                </c:pt>
                <c:pt idx="7">
                  <c:v>5490633.285695672</c:v>
                </c:pt>
                <c:pt idx="8">
                  <c:v>3755883.8198752422</c:v>
                </c:pt>
                <c:pt idx="9">
                  <c:v>2179852.6119589629</c:v>
                </c:pt>
                <c:pt idx="10">
                  <c:v>1522222.6143430988</c:v>
                </c:pt>
                <c:pt idx="11">
                  <c:v>1199829.5241991647</c:v>
                </c:pt>
                <c:pt idx="12">
                  <c:v>1036451.2843456276</c:v>
                </c:pt>
                <c:pt idx="13">
                  <c:v>1020572.0350602327</c:v>
                </c:pt>
                <c:pt idx="14">
                  <c:v>1061394.9164626419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1296"/>
        <c:axId val="107224384"/>
      </c:lineChart>
      <c:catAx>
        <c:axId val="12927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24384"/>
        <c:crosses val="autoZero"/>
        <c:auto val="1"/>
        <c:lblAlgn val="ctr"/>
        <c:lblOffset val="100"/>
        <c:noMultiLvlLbl val="0"/>
      </c:catAx>
      <c:valAx>
        <c:axId val="107224384"/>
        <c:scaling>
          <c:orientation val="minMax"/>
        </c:scaling>
        <c:delete val="0"/>
        <c:axPos val="l"/>
        <c:majorGridlines/>
        <c:numFmt formatCode="_-* #,##0\ &quot;€&quot;_-;\-* #,##0\ &quot;€&quot;_-;_-* &quot;-&quot;??\ &quot;€&quot;_-;_-@_-" sourceLinked="1"/>
        <c:majorTickMark val="out"/>
        <c:minorTickMark val="none"/>
        <c:tickLblPos val="nextTo"/>
        <c:crossAx val="12927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'Revenus récurrents'!$A$10</c:f>
              <c:strCache>
                <c:ptCount val="1"/>
                <c:pt idx="0">
                  <c:v>% du réseau total cofinancé</c:v>
                </c:pt>
              </c:strCache>
            </c:strRef>
          </c:tx>
          <c:marker>
            <c:symbol val="none"/>
          </c:marker>
          <c:val>
            <c:numRef>
              <c:f>'Revenus récurrents'!$B$10:$AZ$10</c:f>
              <c:numCache>
                <c:formatCode>0%</c:formatCode>
                <c:ptCount val="51"/>
                <c:pt idx="1">
                  <c:v>0.35000000000000009</c:v>
                </c:pt>
                <c:pt idx="2">
                  <c:v>0.35000000000000009</c:v>
                </c:pt>
                <c:pt idx="3">
                  <c:v>0.40000000000000008</c:v>
                </c:pt>
                <c:pt idx="4">
                  <c:v>0.45000000000000007</c:v>
                </c:pt>
                <c:pt idx="5">
                  <c:v>0.45000000000000007</c:v>
                </c:pt>
                <c:pt idx="6">
                  <c:v>0.55000000000000004</c:v>
                </c:pt>
                <c:pt idx="7">
                  <c:v>0.60000000000000009</c:v>
                </c:pt>
                <c:pt idx="8">
                  <c:v>0.65000000000000013</c:v>
                </c:pt>
                <c:pt idx="9">
                  <c:v>0.75000000000000011</c:v>
                </c:pt>
                <c:pt idx="10">
                  <c:v>0.80000000000000016</c:v>
                </c:pt>
                <c:pt idx="11">
                  <c:v>0.8500000000000002</c:v>
                </c:pt>
                <c:pt idx="12">
                  <c:v>0.8500000000000002</c:v>
                </c:pt>
                <c:pt idx="13">
                  <c:v>0.8500000000000002</c:v>
                </c:pt>
                <c:pt idx="14">
                  <c:v>0.90000000000000024</c:v>
                </c:pt>
                <c:pt idx="15">
                  <c:v>0.90000000000000024</c:v>
                </c:pt>
                <c:pt idx="16">
                  <c:v>0.90000000000000024</c:v>
                </c:pt>
                <c:pt idx="17">
                  <c:v>0.90000000000000024</c:v>
                </c:pt>
                <c:pt idx="18">
                  <c:v>0.90000000000000024</c:v>
                </c:pt>
                <c:pt idx="19">
                  <c:v>0.90000000000000024</c:v>
                </c:pt>
                <c:pt idx="20">
                  <c:v>0.90000000000000024</c:v>
                </c:pt>
                <c:pt idx="21">
                  <c:v>0.90000000000000024</c:v>
                </c:pt>
                <c:pt idx="22">
                  <c:v>0.90000000000000024</c:v>
                </c:pt>
                <c:pt idx="23">
                  <c:v>0.90000000000000024</c:v>
                </c:pt>
                <c:pt idx="24">
                  <c:v>0.90000000000000024</c:v>
                </c:pt>
                <c:pt idx="25">
                  <c:v>0.90000000000000024</c:v>
                </c:pt>
                <c:pt idx="26">
                  <c:v>0.90000000000000024</c:v>
                </c:pt>
                <c:pt idx="27">
                  <c:v>0.90000000000000024</c:v>
                </c:pt>
                <c:pt idx="28">
                  <c:v>0.90000000000000024</c:v>
                </c:pt>
                <c:pt idx="29">
                  <c:v>0.90000000000000024</c:v>
                </c:pt>
                <c:pt idx="30">
                  <c:v>0.90000000000000024</c:v>
                </c:pt>
                <c:pt idx="31">
                  <c:v>0.90000000000000024</c:v>
                </c:pt>
                <c:pt idx="32">
                  <c:v>0.90000000000000024</c:v>
                </c:pt>
                <c:pt idx="33">
                  <c:v>0.90000000000000024</c:v>
                </c:pt>
                <c:pt idx="34">
                  <c:v>0.90000000000000024</c:v>
                </c:pt>
                <c:pt idx="35">
                  <c:v>0.90000000000000024</c:v>
                </c:pt>
                <c:pt idx="36">
                  <c:v>0.90000000000000024</c:v>
                </c:pt>
                <c:pt idx="37">
                  <c:v>0.90000000000000024</c:v>
                </c:pt>
                <c:pt idx="38">
                  <c:v>0.90000000000000024</c:v>
                </c:pt>
                <c:pt idx="39">
                  <c:v>0.90000000000000024</c:v>
                </c:pt>
                <c:pt idx="40">
                  <c:v>0.90000000000000024</c:v>
                </c:pt>
                <c:pt idx="41">
                  <c:v>0.90000000000000024</c:v>
                </c:pt>
                <c:pt idx="42">
                  <c:v>0.90000000000000024</c:v>
                </c:pt>
                <c:pt idx="43">
                  <c:v>0.90000000000000024</c:v>
                </c:pt>
                <c:pt idx="44">
                  <c:v>0.90000000000000024</c:v>
                </c:pt>
                <c:pt idx="45">
                  <c:v>0.90000000000000024</c:v>
                </c:pt>
                <c:pt idx="46">
                  <c:v>0.90000000000000024</c:v>
                </c:pt>
                <c:pt idx="47">
                  <c:v>0.90000000000000024</c:v>
                </c:pt>
                <c:pt idx="48">
                  <c:v>0.90000000000000024</c:v>
                </c:pt>
                <c:pt idx="49">
                  <c:v>0.90000000000000024</c:v>
                </c:pt>
                <c:pt idx="50">
                  <c:v>0.90000000000000024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1808"/>
        <c:axId val="133481600"/>
      </c:lineChart>
      <c:catAx>
        <c:axId val="12927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1600"/>
        <c:crosses val="autoZero"/>
        <c:auto val="1"/>
        <c:lblAlgn val="ctr"/>
        <c:lblOffset val="100"/>
        <c:noMultiLvlLbl val="0"/>
      </c:catAx>
      <c:valAx>
        <c:axId val="13348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27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'Revenus récurrents'!$A$15</c:f>
              <c:strCache>
                <c:ptCount val="1"/>
                <c:pt idx="0">
                  <c:v>Revenus récurrents réserve cofinancement</c:v>
                </c:pt>
              </c:strCache>
            </c:strRef>
          </c:tx>
          <c:marker>
            <c:symbol val="none"/>
          </c:marker>
          <c:val>
            <c:numRef>
              <c:f>'Revenus récurrents'!$B$15:$AZ$15</c:f>
              <c:numCache>
                <c:formatCode>_-* #,##0\ "€"_-;\-* #,##0\ "€"_-;_-* "-"??\ "€"_-;_-@_-</c:formatCode>
                <c:ptCount val="51"/>
                <c:pt idx="1">
                  <c:v>953.00455896912683</c:v>
                </c:pt>
                <c:pt idx="2">
                  <c:v>10389.802036796933</c:v>
                </c:pt>
                <c:pt idx="3">
                  <c:v>47228.46545433205</c:v>
                </c:pt>
                <c:pt idx="4">
                  <c:v>141605.65924487312</c:v>
                </c:pt>
                <c:pt idx="5">
                  <c:v>309772.86907275987</c:v>
                </c:pt>
                <c:pt idx="6">
                  <c:v>546695.85700056097</c:v>
                </c:pt>
                <c:pt idx="7">
                  <c:v>824850.85785626317</c:v>
                </c:pt>
                <c:pt idx="8">
                  <c:v>1099845.3071918809</c:v>
                </c:pt>
                <c:pt idx="9">
                  <c:v>1346256.6105612582</c:v>
                </c:pt>
                <c:pt idx="10">
                  <c:v>1542313.9100364048</c:v>
                </c:pt>
                <c:pt idx="11">
                  <c:v>1681625.3280324973</c:v>
                </c:pt>
                <c:pt idx="12">
                  <c:v>1776451.0741354814</c:v>
                </c:pt>
                <c:pt idx="13">
                  <c:v>1830418.6678320174</c:v>
                </c:pt>
                <c:pt idx="14">
                  <c:v>1868293.0565968843</c:v>
                </c:pt>
                <c:pt idx="15">
                  <c:v>1904005.421906149</c:v>
                </c:pt>
                <c:pt idx="16">
                  <c:v>1930992.2833890887</c:v>
                </c:pt>
                <c:pt idx="17">
                  <c:v>1958813.5982260755</c:v>
                </c:pt>
                <c:pt idx="18">
                  <c:v>1981753.2118288768</c:v>
                </c:pt>
                <c:pt idx="19">
                  <c:v>2003210.2194848063</c:v>
                </c:pt>
                <c:pt idx="20">
                  <c:v>2022670.1755146473</c:v>
                </c:pt>
                <c:pt idx="21">
                  <c:v>2037280.1781939971</c:v>
                </c:pt>
                <c:pt idx="22">
                  <c:v>2052817.3313835526</c:v>
                </c:pt>
                <c:pt idx="23">
                  <c:v>2058824.8943598422</c:v>
                </c:pt>
                <c:pt idx="24">
                  <c:v>2058824.8943598422</c:v>
                </c:pt>
                <c:pt idx="25">
                  <c:v>2058824.8943598422</c:v>
                </c:pt>
                <c:pt idx="26">
                  <c:v>2058824.8943598422</c:v>
                </c:pt>
                <c:pt idx="27">
                  <c:v>2058824.8943598422</c:v>
                </c:pt>
                <c:pt idx="28">
                  <c:v>2058824.8943598422</c:v>
                </c:pt>
                <c:pt idx="29">
                  <c:v>2058824.8943598422</c:v>
                </c:pt>
                <c:pt idx="30">
                  <c:v>2058824.8943598422</c:v>
                </c:pt>
                <c:pt idx="31">
                  <c:v>2058824.8943598422</c:v>
                </c:pt>
                <c:pt idx="32">
                  <c:v>2058824.8943598422</c:v>
                </c:pt>
                <c:pt idx="33">
                  <c:v>2058824.8943598422</c:v>
                </c:pt>
                <c:pt idx="34">
                  <c:v>2058824.8943598422</c:v>
                </c:pt>
                <c:pt idx="35">
                  <c:v>2058824.8943598422</c:v>
                </c:pt>
                <c:pt idx="36">
                  <c:v>2058824.8943598422</c:v>
                </c:pt>
                <c:pt idx="37">
                  <c:v>2058824.8943598422</c:v>
                </c:pt>
                <c:pt idx="38">
                  <c:v>2058824.8943598422</c:v>
                </c:pt>
                <c:pt idx="39">
                  <c:v>2058824.8943598422</c:v>
                </c:pt>
                <c:pt idx="40">
                  <c:v>2058824.8943598422</c:v>
                </c:pt>
                <c:pt idx="41">
                  <c:v>2058824.8943598422</c:v>
                </c:pt>
                <c:pt idx="42">
                  <c:v>2058824.8943598422</c:v>
                </c:pt>
                <c:pt idx="43">
                  <c:v>2058824.8943598422</c:v>
                </c:pt>
                <c:pt idx="44">
                  <c:v>2058824.8943598422</c:v>
                </c:pt>
                <c:pt idx="45">
                  <c:v>2058824.8943598422</c:v>
                </c:pt>
                <c:pt idx="46">
                  <c:v>2058824.8943598422</c:v>
                </c:pt>
                <c:pt idx="47">
                  <c:v>2058824.8943598422</c:v>
                </c:pt>
                <c:pt idx="48">
                  <c:v>2058824.8943598422</c:v>
                </c:pt>
                <c:pt idx="49">
                  <c:v>2058824.8943598422</c:v>
                </c:pt>
                <c:pt idx="50">
                  <c:v>2058824.8943598422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'Revenus récurrents'!$A$16</c:f>
              <c:strCache>
                <c:ptCount val="1"/>
                <c:pt idx="0">
                  <c:v>Revenus récurrent maintenance</c:v>
                </c:pt>
              </c:strCache>
            </c:strRef>
          </c:tx>
          <c:marker>
            <c:symbol val="none"/>
          </c:marker>
          <c:val>
            <c:numRef>
              <c:f>'Revenus récurrents'!$B$16:$AZ$16</c:f>
              <c:numCache>
                <c:formatCode>_-* #,##0\ "€"_-;\-* #,##0\ "€"_-;_-* "-"??\ "€"_-;_-@_-</c:formatCode>
                <c:ptCount val="51"/>
                <c:pt idx="1">
                  <c:v>373.5612920127075</c:v>
                </c:pt>
                <c:pt idx="2">
                  <c:v>4072.6225662765769</c:v>
                </c:pt>
                <c:pt idx="3">
                  <c:v>18512.741003025309</c:v>
                </c:pt>
                <c:pt idx="4">
                  <c:v>55506.967438903601</c:v>
                </c:pt>
                <c:pt idx="5">
                  <c:v>121425.60296508747</c:v>
                </c:pt>
                <c:pt idx="6">
                  <c:v>214295.3134453368</c:v>
                </c:pt>
                <c:pt idx="7">
                  <c:v>323327.25932799868</c:v>
                </c:pt>
                <c:pt idx="8">
                  <c:v>431120.32371927233</c:v>
                </c:pt>
                <c:pt idx="9">
                  <c:v>527709.28962387482</c:v>
                </c:pt>
                <c:pt idx="10">
                  <c:v>604560.35755547183</c:v>
                </c:pt>
                <c:pt idx="11">
                  <c:v>659168.02213478542</c:v>
                </c:pt>
                <c:pt idx="12">
                  <c:v>696338.07331336231</c:v>
                </c:pt>
                <c:pt idx="13">
                  <c:v>717492.43594296242</c:v>
                </c:pt>
                <c:pt idx="14">
                  <c:v>732338.54078898707</c:v>
                </c:pt>
                <c:pt idx="15">
                  <c:v>746337.16986185277</c:v>
                </c:pt>
                <c:pt idx="16">
                  <c:v>756915.55246039969</c:v>
                </c:pt>
                <c:pt idx="17">
                  <c:v>767821.02633057651</c:v>
                </c:pt>
                <c:pt idx="18">
                  <c:v>776812.95781200018</c:v>
                </c:pt>
                <c:pt idx="19">
                  <c:v>785223.73342397204</c:v>
                </c:pt>
                <c:pt idx="20">
                  <c:v>792851.69936453504</c:v>
                </c:pt>
                <c:pt idx="21">
                  <c:v>798578.56753724441</c:v>
                </c:pt>
                <c:pt idx="22">
                  <c:v>804668.86266234622</c:v>
                </c:pt>
                <c:pt idx="23">
                  <c:v>807023.72336699814</c:v>
                </c:pt>
                <c:pt idx="24">
                  <c:v>807023.72336699814</c:v>
                </c:pt>
                <c:pt idx="25">
                  <c:v>807023.72336699814</c:v>
                </c:pt>
                <c:pt idx="26">
                  <c:v>807023.72336699814</c:v>
                </c:pt>
                <c:pt idx="27">
                  <c:v>807023.72336699814</c:v>
                </c:pt>
                <c:pt idx="28">
                  <c:v>807023.72336699814</c:v>
                </c:pt>
                <c:pt idx="29">
                  <c:v>807023.72336699814</c:v>
                </c:pt>
                <c:pt idx="30">
                  <c:v>807023.72336699814</c:v>
                </c:pt>
                <c:pt idx="31">
                  <c:v>807023.72336699814</c:v>
                </c:pt>
                <c:pt idx="32">
                  <c:v>807023.72336699814</c:v>
                </c:pt>
                <c:pt idx="33">
                  <c:v>807023.72336699814</c:v>
                </c:pt>
                <c:pt idx="34">
                  <c:v>807023.72336699814</c:v>
                </c:pt>
                <c:pt idx="35">
                  <c:v>807023.72336699814</c:v>
                </c:pt>
                <c:pt idx="36">
                  <c:v>807023.72336699814</c:v>
                </c:pt>
                <c:pt idx="37">
                  <c:v>807023.72336699814</c:v>
                </c:pt>
                <c:pt idx="38">
                  <c:v>807023.72336699814</c:v>
                </c:pt>
                <c:pt idx="39">
                  <c:v>807023.72336699814</c:v>
                </c:pt>
                <c:pt idx="40">
                  <c:v>807023.72336699814</c:v>
                </c:pt>
                <c:pt idx="41">
                  <c:v>807023.72336699814</c:v>
                </c:pt>
                <c:pt idx="42">
                  <c:v>807023.72336699814</c:v>
                </c:pt>
                <c:pt idx="43">
                  <c:v>807023.72336699814</c:v>
                </c:pt>
                <c:pt idx="44">
                  <c:v>807023.72336699814</c:v>
                </c:pt>
                <c:pt idx="45">
                  <c:v>807023.72336699814</c:v>
                </c:pt>
                <c:pt idx="46">
                  <c:v>807023.72336699814</c:v>
                </c:pt>
                <c:pt idx="47">
                  <c:v>807023.72336699814</c:v>
                </c:pt>
                <c:pt idx="48">
                  <c:v>807023.72336699814</c:v>
                </c:pt>
                <c:pt idx="49">
                  <c:v>807023.72336699814</c:v>
                </c:pt>
                <c:pt idx="50">
                  <c:v>807023.72336699814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'Revenus récurrents'!$A$17</c:f>
              <c:strCache>
                <c:ptCount val="1"/>
                <c:pt idx="0">
                  <c:v>Revenus récurrent GC</c:v>
                </c:pt>
              </c:strCache>
            </c:strRef>
          </c:tx>
          <c:marker>
            <c:symbol val="none"/>
          </c:marker>
          <c:val>
            <c:numRef>
              <c:f>'Revenus récurrents'!$B$17:$AZ$17</c:f>
              <c:numCache>
                <c:formatCode>_-* #,##0\ "€"_-;\-* #,##0\ "€"_-;_-* "-"??\ "€"_-;_-@_-</c:formatCode>
                <c:ptCount val="51"/>
                <c:pt idx="1">
                  <c:v>1041.0082741944341</c:v>
                </c:pt>
                <c:pt idx="2">
                  <c:v>11349.232053252097</c:v>
                </c:pt>
                <c:pt idx="3">
                  <c:v>51589.704217835126</c:v>
                </c:pt>
                <c:pt idx="4">
                  <c:v>154682.01233594102</c:v>
                </c:pt>
                <c:pt idx="5">
                  <c:v>338378.3600935943</c:v>
                </c:pt>
                <c:pt idx="6">
                  <c:v>597179.63072602486</c:v>
                </c:pt>
                <c:pt idx="7">
                  <c:v>901020.42002147925</c:v>
                </c:pt>
                <c:pt idx="8">
                  <c:v>1201408.8016107366</c:v>
                </c:pt>
                <c:pt idx="9">
                  <c:v>1470574.5713317466</c:v>
                </c:pt>
                <c:pt idx="10">
                  <c:v>1684736.47543703</c:v>
                </c:pt>
                <c:pt idx="11">
                  <c:v>1836912.3884049233</c:v>
                </c:pt>
                <c:pt idx="12">
                  <c:v>1940494.6696970998</c:v>
                </c:pt>
                <c:pt idx="13">
                  <c:v>1999445.816412735</c:v>
                </c:pt>
                <c:pt idx="14">
                  <c:v>2040817.656361677</c:v>
                </c:pt>
                <c:pt idx="15">
                  <c:v>2079827.8241810349</c:v>
                </c:pt>
                <c:pt idx="16">
                  <c:v>2109306.7451724182</c:v>
                </c:pt>
                <c:pt idx="17">
                  <c:v>2139697.1758075044</c:v>
                </c:pt>
                <c:pt idx="18">
                  <c:v>2164755.1121443156</c:v>
                </c:pt>
                <c:pt idx="19">
                  <c:v>2188193.5336073125</c:v>
                </c:pt>
                <c:pt idx="20">
                  <c:v>2209450.4888357716</c:v>
                </c:pt>
                <c:pt idx="21">
                  <c:v>2225409.6293583084</c:v>
                </c:pt>
                <c:pt idx="22">
                  <c:v>2242381.5366545855</c:v>
                </c:pt>
                <c:pt idx="23">
                  <c:v>2248943.8586363681</c:v>
                </c:pt>
                <c:pt idx="24">
                  <c:v>2248943.8586363681</c:v>
                </c:pt>
                <c:pt idx="25">
                  <c:v>2248943.8586363681</c:v>
                </c:pt>
                <c:pt idx="26">
                  <c:v>2248943.8586363681</c:v>
                </c:pt>
                <c:pt idx="27">
                  <c:v>2248943.8586363681</c:v>
                </c:pt>
                <c:pt idx="28">
                  <c:v>2248943.8586363681</c:v>
                </c:pt>
                <c:pt idx="29">
                  <c:v>2248943.8586363681</c:v>
                </c:pt>
                <c:pt idx="30">
                  <c:v>2248943.8586363681</c:v>
                </c:pt>
                <c:pt idx="31">
                  <c:v>2248943.8586363681</c:v>
                </c:pt>
                <c:pt idx="32">
                  <c:v>2248943.8586363681</c:v>
                </c:pt>
                <c:pt idx="33">
                  <c:v>2248943.8586363681</c:v>
                </c:pt>
                <c:pt idx="34">
                  <c:v>2248943.8586363681</c:v>
                </c:pt>
                <c:pt idx="35">
                  <c:v>2248943.8586363681</c:v>
                </c:pt>
                <c:pt idx="36">
                  <c:v>2248943.8586363681</c:v>
                </c:pt>
                <c:pt idx="37">
                  <c:v>2248943.8586363681</c:v>
                </c:pt>
                <c:pt idx="38">
                  <c:v>2248943.8586363681</c:v>
                </c:pt>
                <c:pt idx="39">
                  <c:v>2248943.8586363681</c:v>
                </c:pt>
                <c:pt idx="40">
                  <c:v>2248943.8586363681</c:v>
                </c:pt>
                <c:pt idx="41">
                  <c:v>2248943.8586363681</c:v>
                </c:pt>
                <c:pt idx="42">
                  <c:v>2248943.8586363681</c:v>
                </c:pt>
                <c:pt idx="43">
                  <c:v>2248943.8586363681</c:v>
                </c:pt>
                <c:pt idx="44">
                  <c:v>2248943.8586363681</c:v>
                </c:pt>
                <c:pt idx="45">
                  <c:v>2248943.8586363681</c:v>
                </c:pt>
                <c:pt idx="46">
                  <c:v>2248943.8586363681</c:v>
                </c:pt>
                <c:pt idx="47">
                  <c:v>2248943.8586363681</c:v>
                </c:pt>
                <c:pt idx="48">
                  <c:v>2248943.8586363681</c:v>
                </c:pt>
                <c:pt idx="49">
                  <c:v>2248943.8586363681</c:v>
                </c:pt>
                <c:pt idx="50">
                  <c:v>2248943.8586363681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'Revenus récurrents'!$A$18</c:f>
              <c:strCache>
                <c:ptCount val="1"/>
                <c:pt idx="0">
                  <c:v>Revenus récurrents location (hors maintenance et GC)</c:v>
                </c:pt>
              </c:strCache>
            </c:strRef>
          </c:tx>
          <c:marker>
            <c:symbol val="none"/>
          </c:marker>
          <c:val>
            <c:numRef>
              <c:f>'Revenus récurrents'!$B$18:$AZ$18</c:f>
              <c:numCache>
                <c:formatCode>_-* #,##0\ "€"_-;\-* #,##0\ "€"_-;_-* "-"??\ "€"_-;_-@_-</c:formatCode>
                <c:ptCount val="5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2832"/>
        <c:axId val="133483328"/>
      </c:lineChart>
      <c:catAx>
        <c:axId val="12927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3328"/>
        <c:crosses val="autoZero"/>
        <c:auto val="1"/>
        <c:lblAlgn val="ctr"/>
        <c:lblOffset val="100"/>
        <c:noMultiLvlLbl val="0"/>
      </c:catAx>
      <c:valAx>
        <c:axId val="133483328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out"/>
        <c:minorTickMark val="none"/>
        <c:tickLblPos val="nextTo"/>
        <c:crossAx val="12927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bord'!$A$11</c:f>
              <c:strCache>
                <c:ptCount val="1"/>
                <c:pt idx="0">
                  <c:v>Flux de trésorerie globaux</c:v>
                </c:pt>
              </c:strCache>
            </c:strRef>
          </c:tx>
          <c:marker>
            <c:symbol val="none"/>
          </c:marker>
          <c:val>
            <c:numRef>
              <c:f>'Tableau de bord'!$C$11:$AZ$11</c:f>
              <c:numCache>
                <c:formatCode>_-* #,##0\ "€"_-;\-* #,##0\ "€"_-;_-* "-"??\ "€"_-;_-@_-</c:formatCode>
                <c:ptCount val="50"/>
                <c:pt idx="0">
                  <c:v>-1398984.7612030942</c:v>
                </c:pt>
                <c:pt idx="1">
                  <c:v>-2886617.5765483603</c:v>
                </c:pt>
                <c:pt idx="2">
                  <c:v>-3256712.8915597601</c:v>
                </c:pt>
                <c:pt idx="3">
                  <c:v>-3198299.0786460191</c:v>
                </c:pt>
                <c:pt idx="4">
                  <c:v>-4119189.9618945518</c:v>
                </c:pt>
                <c:pt idx="5">
                  <c:v>506495.74272410106</c:v>
                </c:pt>
                <c:pt idx="6">
                  <c:v>354989.39346584678</c:v>
                </c:pt>
                <c:pt idx="7">
                  <c:v>1562099.7462334568</c:v>
                </c:pt>
                <c:pt idx="8">
                  <c:v>6231150.9134623166</c:v>
                </c:pt>
                <c:pt idx="9">
                  <c:v>4061499.4657913577</c:v>
                </c:pt>
                <c:pt idx="10">
                  <c:v>4513026.7100628316</c:v>
                </c:pt>
                <c:pt idx="11">
                  <c:v>1046360.7470730636</c:v>
                </c:pt>
                <c:pt idx="12">
                  <c:v>1041553.0690274304</c:v>
                </c:pt>
                <c:pt idx="13">
                  <c:v>4644333.6193290092</c:v>
                </c:pt>
                <c:pt idx="14">
                  <c:v>939339.89713138435</c:v>
                </c:pt>
                <c:pt idx="15">
                  <c:v>880775.85174763482</c:v>
                </c:pt>
                <c:pt idx="16">
                  <c:v>836526.57174019283</c:v>
                </c:pt>
                <c:pt idx="17">
                  <c:v>790641.46295888722</c:v>
                </c:pt>
                <c:pt idx="18">
                  <c:v>749928.51696802769</c:v>
                </c:pt>
                <c:pt idx="19">
                  <c:v>718973.00553754158</c:v>
                </c:pt>
                <c:pt idx="20">
                  <c:v>1985856.0513309641</c:v>
                </c:pt>
                <c:pt idx="21">
                  <c:v>1992176.6495177718</c:v>
                </c:pt>
                <c:pt idx="22">
                  <c:v>1978398.6434637532</c:v>
                </c:pt>
                <c:pt idx="23">
                  <c:v>1951641.4825394424</c:v>
                </c:pt>
                <c:pt idx="24">
                  <c:v>1927129.4359844155</c:v>
                </c:pt>
                <c:pt idx="25">
                  <c:v>1898847.0043530706</c:v>
                </c:pt>
                <c:pt idx="26">
                  <c:v>1883250.7670482034</c:v>
                </c:pt>
                <c:pt idx="27">
                  <c:v>1864054.5297433361</c:v>
                </c:pt>
                <c:pt idx="28">
                  <c:v>1846658.2924384689</c:v>
                </c:pt>
                <c:pt idx="29">
                  <c:v>1831962.0551336012</c:v>
                </c:pt>
                <c:pt idx="30">
                  <c:v>1817265.8178287339</c:v>
                </c:pt>
                <c:pt idx="31">
                  <c:v>1802569.5805238667</c:v>
                </c:pt>
                <c:pt idx="32">
                  <c:v>1787873.343218999</c:v>
                </c:pt>
                <c:pt idx="33">
                  <c:v>1773177.1059141317</c:v>
                </c:pt>
                <c:pt idx="34">
                  <c:v>1758480.8686092645</c:v>
                </c:pt>
                <c:pt idx="35">
                  <c:v>1743784.6313043972</c:v>
                </c:pt>
                <c:pt idx="36">
                  <c:v>1729088.39399953</c:v>
                </c:pt>
                <c:pt idx="37">
                  <c:v>1714392.1566946623</c:v>
                </c:pt>
                <c:pt idx="38">
                  <c:v>1699695.919389795</c:v>
                </c:pt>
                <c:pt idx="39">
                  <c:v>1692199.6820849278</c:v>
                </c:pt>
                <c:pt idx="40">
                  <c:v>1682003.4447800601</c:v>
                </c:pt>
                <c:pt idx="41">
                  <c:v>1669107.2074751928</c:v>
                </c:pt>
                <c:pt idx="42">
                  <c:v>1655310.9701703256</c:v>
                </c:pt>
                <c:pt idx="43">
                  <c:v>1639714.7328654584</c:v>
                </c:pt>
                <c:pt idx="44">
                  <c:v>1623218.4955605911</c:v>
                </c:pt>
                <c:pt idx="45">
                  <c:v>1604922.2582557234</c:v>
                </c:pt>
                <c:pt idx="46">
                  <c:v>1589326.0209508562</c:v>
                </c:pt>
                <c:pt idx="47">
                  <c:v>1570129.7836459889</c:v>
                </c:pt>
                <c:pt idx="48">
                  <c:v>1552733.5463411212</c:v>
                </c:pt>
                <c:pt idx="49">
                  <c:v>1538037.309036254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3344"/>
        <c:axId val="133485632"/>
      </c:lineChart>
      <c:catAx>
        <c:axId val="12927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5632"/>
        <c:crosses val="autoZero"/>
        <c:auto val="1"/>
        <c:lblAlgn val="ctr"/>
        <c:lblOffset val="100"/>
        <c:noMultiLvlLbl val="0"/>
      </c:catAx>
      <c:valAx>
        <c:axId val="133485632"/>
        <c:scaling>
          <c:orientation val="minMax"/>
        </c:scaling>
        <c:delete val="0"/>
        <c:axPos val="l"/>
        <c:majorGridlines/>
        <c:numFmt formatCode="_-* #,##0\ &quot;€&quot;_-;\-* #,##0\ &quot;€&quot;_-;_-* &quot;-&quot;??\ &quot;€&quot;_-;_-@_-" sourceLinked="1"/>
        <c:majorTickMark val="out"/>
        <c:minorTickMark val="none"/>
        <c:tickLblPos val="nextTo"/>
        <c:crossAx val="12927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bord'!$A$13</c:f>
              <c:strCache>
                <c:ptCount val="1"/>
                <c:pt idx="0">
                  <c:v>TRI par année (en %) </c:v>
                </c:pt>
              </c:strCache>
            </c:strRef>
          </c:tx>
          <c:marker>
            <c:symbol val="none"/>
          </c:marker>
          <c:val>
            <c:numRef>
              <c:f>'Tableau de bord'!$B$13:$AZ$13</c:f>
              <c:numCache>
                <c:formatCode>0.00%</c:formatCode>
                <c:ptCount val="5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2.4323760370064784E-2</c:v>
                </c:pt>
                <c:pt idx="12">
                  <c:v>3.3418010842421575E-2</c:v>
                </c:pt>
                <c:pt idx="13">
                  <c:v>4.1416894362471979E-2</c:v>
                </c:pt>
                <c:pt idx="14">
                  <c:v>6.8721897327856274E-2</c:v>
                </c:pt>
                <c:pt idx="15">
                  <c:v>7.2970567981884837E-2</c:v>
                </c:pt>
                <c:pt idx="16">
                  <c:v>7.6477934705077688E-2</c:v>
                </c:pt>
                <c:pt idx="17">
                  <c:v>7.9413822894449426E-2</c:v>
                </c:pt>
                <c:pt idx="18">
                  <c:v>8.1863148851982981E-2</c:v>
                </c:pt>
                <c:pt idx="19">
                  <c:v>8.3917873302867596E-2</c:v>
                </c:pt>
                <c:pt idx="20">
                  <c:v>8.566344380053148E-2</c:v>
                </c:pt>
                <c:pt idx="21">
                  <c:v>8.9809901908838308E-2</c:v>
                </c:pt>
                <c:pt idx="22">
                  <c:v>9.3291628064859466E-2</c:v>
                </c:pt>
                <c:pt idx="23">
                  <c:v>9.6207477865951185E-2</c:v>
                </c:pt>
                <c:pt idx="24">
                  <c:v>9.8650048950598146E-2</c:v>
                </c:pt>
                <c:pt idx="25">
                  <c:v>0.10071068159331031</c:v>
                </c:pt>
                <c:pt idx="26">
                  <c:v>0.10245453028983587</c:v>
                </c:pt>
                <c:pt idx="27">
                  <c:v>0.10394663986634267</c:v>
                </c:pt>
                <c:pt idx="28">
                  <c:v>0.105225682460792</c:v>
                </c:pt>
                <c:pt idx="29">
                  <c:v>0.10632679488662999</c:v>
                </c:pt>
                <c:pt idx="30">
                  <c:v>0.10727890363904846</c:v>
                </c:pt>
                <c:pt idx="31">
                  <c:v>0.10810432313387297</c:v>
                </c:pt>
                <c:pt idx="32">
                  <c:v>0.10882159031141581</c:v>
                </c:pt>
                <c:pt idx="33">
                  <c:v>0.10944619304732717</c:v>
                </c:pt>
                <c:pt idx="34">
                  <c:v>0.10999113935164884</c:v>
                </c:pt>
                <c:pt idx="35">
                  <c:v>0.11046740637254326</c:v>
                </c:pt>
                <c:pt idx="36">
                  <c:v>0.11088429762344809</c:v>
                </c:pt>
                <c:pt idx="37">
                  <c:v>0.11124972941316691</c:v>
                </c:pt>
                <c:pt idx="38">
                  <c:v>0.11157046215382227</c:v>
                </c:pt>
                <c:pt idx="39">
                  <c:v>0.1118522883860853</c:v>
                </c:pt>
                <c:pt idx="40">
                  <c:v>0.11210123898713698</c:v>
                </c:pt>
                <c:pt idx="41">
                  <c:v>0.11232100762693098</c:v>
                </c:pt>
                <c:pt idx="42">
                  <c:v>0.11251487224296852</c:v>
                </c:pt>
                <c:pt idx="43">
                  <c:v>0.11268592841036917</c:v>
                </c:pt>
                <c:pt idx="44">
                  <c:v>0.11283680199840296</c:v>
                </c:pt>
                <c:pt idx="45">
                  <c:v>0.11296988490986148</c:v>
                </c:pt>
                <c:pt idx="46">
                  <c:v>0.11308720967880581</c:v>
                </c:pt>
                <c:pt idx="47">
                  <c:v>0.11319086773433384</c:v>
                </c:pt>
                <c:pt idx="48">
                  <c:v>0.11328228355693892</c:v>
                </c:pt>
                <c:pt idx="49">
                  <c:v>0.11336302572381007</c:v>
                </c:pt>
                <c:pt idx="50">
                  <c:v>0.11343448967623471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86240"/>
        <c:axId val="133487360"/>
      </c:lineChart>
      <c:catAx>
        <c:axId val="13338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7360"/>
        <c:crosses val="autoZero"/>
        <c:auto val="1"/>
        <c:lblAlgn val="ctr"/>
        <c:lblOffset val="100"/>
        <c:noMultiLvlLbl val="0"/>
      </c:catAx>
      <c:valAx>
        <c:axId val="1334873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338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57151</xdr:rowOff>
    </xdr:from>
    <xdr:to>
      <xdr:col>7</xdr:col>
      <xdr:colOff>0</xdr:colOff>
      <xdr:row>12</xdr:row>
      <xdr:rowOff>9525</xdr:rowOff>
    </xdr:to>
    <xdr:sp macro="" textlink="">
      <xdr:nvSpPr>
        <xdr:cNvPr id="3" name="Zone de texte 9"/>
        <xdr:cNvSpPr txBox="1">
          <a:spLocks noChangeArrowheads="1"/>
        </xdr:cNvSpPr>
      </xdr:nvSpPr>
      <xdr:spPr bwMode="auto">
        <a:xfrm>
          <a:off x="0" y="1352551"/>
          <a:ext cx="6381750" cy="600074"/>
        </a:xfrm>
        <a:prstGeom prst="rect">
          <a:avLst/>
        </a:prstGeom>
        <a:solidFill>
          <a:srgbClr val="AFC0C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spcAft>
              <a:spcPts val="600"/>
            </a:spcAft>
          </a:pPr>
          <a:r>
            <a:rPr lang="fr-FR" sz="1800">
              <a:solidFill>
                <a:srgbClr val="FFFFFF"/>
              </a:solidFill>
              <a:effectLst/>
              <a:latin typeface="Arial"/>
              <a:ea typeface="Times New Roman"/>
              <a:cs typeface="Times New Roman"/>
            </a:rPr>
            <a:t>Version 1.0</a:t>
          </a:r>
          <a:r>
            <a:rPr lang="fr-FR" sz="1800" baseline="0">
              <a:solidFill>
                <a:srgbClr val="FFFFFF"/>
              </a:solidFill>
              <a:effectLst/>
              <a:latin typeface="DIN-Medium"/>
              <a:ea typeface="Times New Roman"/>
              <a:cs typeface="Times New Roman"/>
            </a:rPr>
            <a:t> du 16.05.2014</a:t>
          </a:r>
          <a:endParaRPr lang="fr-FR" sz="1800">
            <a:solidFill>
              <a:srgbClr val="FFFFFF"/>
            </a:solidFill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8</xdr:row>
      <xdr:rowOff>57150</xdr:rowOff>
    </xdr:to>
    <xdr:sp macro="" textlink="">
      <xdr:nvSpPr>
        <xdr:cNvPr id="2050" name="Zone de texte 3"/>
        <xdr:cNvSpPr txBox="1">
          <a:spLocks noChangeArrowheads="1"/>
        </xdr:cNvSpPr>
      </xdr:nvSpPr>
      <xdr:spPr bwMode="auto">
        <a:xfrm>
          <a:off x="0" y="0"/>
          <a:ext cx="6381750" cy="1352550"/>
        </a:xfrm>
        <a:prstGeom prst="rect">
          <a:avLst/>
        </a:prstGeom>
        <a:solidFill>
          <a:srgbClr val="C0DEA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2200" b="0" i="0" u="none" strike="noStrike" baseline="0">
              <a:solidFill>
                <a:srgbClr val="FFFFFF"/>
              </a:solidFill>
              <a:latin typeface="Arial"/>
              <a:cs typeface="Arial"/>
            </a:rPr>
            <a:t>Modèle générique de tarification de l’accès </a:t>
          </a:r>
        </a:p>
        <a:p>
          <a:pPr algn="l" rtl="0">
            <a:defRPr sz="1000"/>
          </a:pPr>
          <a:r>
            <a:rPr lang="fr-FR" sz="2200" b="0" i="0" u="none" strike="noStrike" baseline="0">
              <a:solidFill>
                <a:srgbClr val="FFFFFF"/>
              </a:solidFill>
              <a:latin typeface="Arial"/>
              <a:cs typeface="Arial"/>
            </a:rPr>
            <a:t>aux réseaux en fibre optique jusqu’à l’abonné </a:t>
          </a:r>
        </a:p>
        <a:p>
          <a:pPr algn="l" rtl="0">
            <a:defRPr sz="1000"/>
          </a:pPr>
          <a:r>
            <a:rPr lang="fr-FR" sz="2200" b="0" i="0" u="none" strike="noStrike" baseline="0">
              <a:solidFill>
                <a:srgbClr val="FFFFFF"/>
              </a:solidFill>
              <a:latin typeface="Arial"/>
              <a:cs typeface="Arial"/>
            </a:rPr>
            <a:t>en dehors des zones très denses</a:t>
          </a:r>
        </a:p>
        <a:p>
          <a:pPr algn="l" rtl="0">
            <a:defRPr sz="1000"/>
          </a:pPr>
          <a:endParaRPr lang="fr-FR" sz="22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545647</xdr:colOff>
      <xdr:row>15</xdr:row>
      <xdr:rowOff>23132</xdr:rowOff>
    </xdr:from>
    <xdr:to>
      <xdr:col>10</xdr:col>
      <xdr:colOff>436790</xdr:colOff>
      <xdr:row>29</xdr:row>
      <xdr:rowOff>99332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48986</xdr:colOff>
      <xdr:row>0</xdr:row>
      <xdr:rowOff>66673</xdr:rowOff>
    </xdr:from>
    <xdr:to>
      <xdr:col>4</xdr:col>
      <xdr:colOff>449036</xdr:colOff>
      <xdr:row>14</xdr:row>
      <xdr:rowOff>142873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545647</xdr:colOff>
      <xdr:row>0</xdr:row>
      <xdr:rowOff>76200</xdr:rowOff>
    </xdr:from>
    <xdr:to>
      <xdr:col>10</xdr:col>
      <xdr:colOff>436790</xdr:colOff>
      <xdr:row>14</xdr:row>
      <xdr:rowOff>152400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62594</xdr:colOff>
      <xdr:row>15</xdr:row>
      <xdr:rowOff>23132</xdr:rowOff>
    </xdr:from>
    <xdr:to>
      <xdr:col>4</xdr:col>
      <xdr:colOff>449037</xdr:colOff>
      <xdr:row>29</xdr:row>
      <xdr:rowOff>99332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511629</xdr:colOff>
      <xdr:row>0</xdr:row>
      <xdr:rowOff>89807</xdr:rowOff>
    </xdr:from>
    <xdr:to>
      <xdr:col>16</xdr:col>
      <xdr:colOff>402771</xdr:colOff>
      <xdr:row>15</xdr:row>
      <xdr:rowOff>2721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484414</xdr:colOff>
      <xdr:row>15</xdr:row>
      <xdr:rowOff>23133</xdr:rowOff>
    </xdr:from>
    <xdr:to>
      <xdr:col>16</xdr:col>
      <xdr:colOff>375556</xdr:colOff>
      <xdr:row>29</xdr:row>
      <xdr:rowOff>99333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142874</xdr:colOff>
      <xdr:row>29</xdr:row>
      <xdr:rowOff>171450</xdr:rowOff>
    </xdr:from>
    <xdr:to>
      <xdr:col>16</xdr:col>
      <xdr:colOff>549087</xdr:colOff>
      <xdr:row>50</xdr:row>
      <xdr:rowOff>33618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6</xdr:col>
      <xdr:colOff>95250</xdr:colOff>
      <xdr:row>50</xdr:row>
      <xdr:rowOff>47625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734785</xdr:colOff>
      <xdr:row>30</xdr:row>
      <xdr:rowOff>13608</xdr:rowOff>
    </xdr:from>
    <xdr:to>
      <xdr:col>24</xdr:col>
      <xdr:colOff>462643</xdr:colOff>
      <xdr:row>49</xdr:row>
      <xdr:rowOff>149679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G18"/>
  <sheetViews>
    <sheetView tabSelected="1" zoomScaleNormal="100" workbookViewId="0"/>
  </sheetViews>
  <sheetFormatPr baseColWidth="10" defaultRowHeight="12.75"/>
  <cols>
    <col min="1" max="1" width="21" style="67" bestFit="1" customWidth="1"/>
    <col min="2" max="2" width="17.7109375" style="67" bestFit="1" customWidth="1"/>
    <col min="3" max="3" width="16.7109375" style="67" bestFit="1" customWidth="1"/>
    <col min="4" max="8" width="12" style="67" customWidth="1"/>
    <col min="9" max="16384" width="11.42578125" style="67"/>
  </cols>
  <sheetData>
    <row r="14" spans="1:7" ht="36" customHeight="1">
      <c r="A14" s="623" t="s">
        <v>196</v>
      </c>
      <c r="B14" s="623"/>
      <c r="C14" s="623"/>
      <c r="D14" s="623"/>
      <c r="E14" s="623"/>
      <c r="F14" s="623"/>
      <c r="G14" s="623"/>
    </row>
    <row r="16" spans="1:7">
      <c r="A16" s="83" t="s">
        <v>197</v>
      </c>
    </row>
    <row r="18" spans="1:4">
      <c r="A18" s="531" t="s">
        <v>107</v>
      </c>
      <c r="B18" s="532" t="s">
        <v>108</v>
      </c>
      <c r="C18" s="533" t="s">
        <v>79</v>
      </c>
      <c r="D18" s="534" t="s">
        <v>57</v>
      </c>
    </row>
  </sheetData>
  <mergeCells count="1">
    <mergeCell ref="A14:G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00B050"/>
  </sheetPr>
  <dimension ref="A1:AZ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2.75" outlineLevelRow="1"/>
  <cols>
    <col min="1" max="1" width="42.85546875" style="67" bestFit="1" customWidth="1"/>
    <col min="2" max="2" width="22.140625" style="201" bestFit="1" customWidth="1"/>
    <col min="3" max="52" width="14.85546875" style="67" customWidth="1"/>
    <col min="53" max="16384" width="11.42578125" style="67"/>
  </cols>
  <sheetData>
    <row r="1" spans="1:52">
      <c r="B1" s="258" t="s">
        <v>92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</row>
    <row r="2" spans="1:52">
      <c r="A2" s="83" t="s">
        <v>7</v>
      </c>
      <c r="B2" s="287"/>
      <c r="C2" s="288">
        <v>1</v>
      </c>
      <c r="D2" s="288">
        <v>2</v>
      </c>
      <c r="E2" s="288">
        <v>3</v>
      </c>
      <c r="F2" s="288">
        <v>4</v>
      </c>
      <c r="G2" s="288">
        <v>5</v>
      </c>
      <c r="H2" s="288">
        <v>6</v>
      </c>
      <c r="I2" s="288">
        <v>7</v>
      </c>
      <c r="J2" s="288">
        <v>8</v>
      </c>
      <c r="K2" s="288">
        <v>9</v>
      </c>
      <c r="L2" s="288">
        <v>10</v>
      </c>
      <c r="M2" s="288">
        <v>11</v>
      </c>
      <c r="N2" s="288">
        <v>12</v>
      </c>
      <c r="O2" s="288">
        <v>13</v>
      </c>
      <c r="P2" s="288">
        <v>14</v>
      </c>
      <c r="Q2" s="288">
        <v>15</v>
      </c>
      <c r="R2" s="288">
        <v>16</v>
      </c>
      <c r="S2" s="288">
        <v>17</v>
      </c>
      <c r="T2" s="288">
        <v>18</v>
      </c>
      <c r="U2" s="288">
        <v>19</v>
      </c>
      <c r="V2" s="288">
        <v>20</v>
      </c>
      <c r="W2" s="288">
        <v>21</v>
      </c>
      <c r="X2" s="288">
        <v>22</v>
      </c>
      <c r="Y2" s="288">
        <v>23</v>
      </c>
      <c r="Z2" s="288">
        <v>24</v>
      </c>
      <c r="AA2" s="288">
        <v>25</v>
      </c>
      <c r="AB2" s="288">
        <v>26</v>
      </c>
      <c r="AC2" s="288">
        <v>27</v>
      </c>
      <c r="AD2" s="288">
        <v>28</v>
      </c>
      <c r="AE2" s="288">
        <v>29</v>
      </c>
      <c r="AF2" s="289">
        <v>30</v>
      </c>
      <c r="AG2" s="289">
        <v>31</v>
      </c>
      <c r="AH2" s="289">
        <v>32</v>
      </c>
      <c r="AI2" s="289">
        <v>33</v>
      </c>
      <c r="AJ2" s="289">
        <v>34</v>
      </c>
      <c r="AK2" s="289">
        <v>35</v>
      </c>
      <c r="AL2" s="289">
        <v>36</v>
      </c>
      <c r="AM2" s="289">
        <v>37</v>
      </c>
      <c r="AN2" s="289">
        <v>38</v>
      </c>
      <c r="AO2" s="289">
        <v>39</v>
      </c>
      <c r="AP2" s="289">
        <v>40</v>
      </c>
      <c r="AQ2" s="289">
        <v>41</v>
      </c>
      <c r="AR2" s="289">
        <v>42</v>
      </c>
      <c r="AS2" s="289">
        <v>43</v>
      </c>
      <c r="AT2" s="289">
        <v>44</v>
      </c>
      <c r="AU2" s="289">
        <v>45</v>
      </c>
      <c r="AV2" s="289">
        <v>46</v>
      </c>
      <c r="AW2" s="289">
        <v>47</v>
      </c>
      <c r="AX2" s="289">
        <v>48</v>
      </c>
      <c r="AY2" s="289">
        <v>49</v>
      </c>
      <c r="AZ2" s="289">
        <v>50</v>
      </c>
    </row>
    <row r="3" spans="1:52">
      <c r="A3" s="83" t="s">
        <v>13</v>
      </c>
      <c r="B3" s="287"/>
      <c r="C3" s="290">
        <f>'Calcul de la réserve'!C8</f>
        <v>1</v>
      </c>
      <c r="D3" s="291">
        <f>'Calcul de la réserve'!D8</f>
        <v>0.9085201793721972</v>
      </c>
      <c r="E3" s="291">
        <f>'Calcul de la réserve'!E8</f>
        <v>0.82540891632648938</v>
      </c>
      <c r="F3" s="291">
        <f>'Calcul de la réserve'!F8</f>
        <v>0.74990065671635309</v>
      </c>
      <c r="G3" s="291">
        <f>'Calcul de la réserve'!G8</f>
        <v>0.68129987915126955</v>
      </c>
      <c r="H3" s="291">
        <f>'Calcul de la réserve'!H8</f>
        <v>0.6189746884127677</v>
      </c>
      <c r="I3" s="291">
        <f>'Calcul de la réserve'!I8</f>
        <v>0.56235099494361762</v>
      </c>
      <c r="J3" s="291">
        <f>'Calcul de la réserve'!J8</f>
        <v>0.51090722679630907</v>
      </c>
      <c r="K3" s="291">
        <f>'Calcul de la réserve'!K8</f>
        <v>0.46416952533153455</v>
      </c>
      <c r="L3" s="291">
        <f>'Calcul de la réserve'!L8</f>
        <v>0.4217073804133134</v>
      </c>
      <c r="M3" s="291">
        <f>'Calcul de la réserve'!M8</f>
        <v>0.3831296648956829</v>
      </c>
      <c r="N3" s="291">
        <f>'Calcul de la réserve'!N8</f>
        <v>0.34808103187383566</v>
      </c>
      <c r="O3" s="291">
        <f>'Calcul de la réserve'!O8</f>
        <v>0.31623864151407666</v>
      </c>
      <c r="P3" s="291">
        <f>'Calcul de la réserve'!P8</f>
        <v>0.28730918731278893</v>
      </c>
      <c r="Q3" s="291">
        <f>'Calcul de la réserve'!Q8</f>
        <v>0.2610261943926952</v>
      </c>
      <c r="R3" s="291">
        <f>'Calcul de la réserve'!R8</f>
        <v>0.23714756495049347</v>
      </c>
      <c r="S3" s="291">
        <f>'Calcul de la réserve'!S8</f>
        <v>0.21545334824650211</v>
      </c>
      <c r="T3" s="291">
        <f>'Calcul de la réserve'!T8</f>
        <v>0.19574371459525258</v>
      </c>
      <c r="U3" s="291">
        <f>'Calcul de la réserve'!U8</f>
        <v>0.17783711469505906</v>
      </c>
      <c r="V3" s="291">
        <f>'Calcul de la réserve'!V8</f>
        <v>0.16156860734178907</v>
      </c>
      <c r="W3" s="291">
        <f>'Calcul de la réserve'!W8</f>
        <v>0.14678834012307831</v>
      </c>
      <c r="X3" s="291">
        <f>'Calcul de la réserve'!X8</f>
        <v>0.1333601690983662</v>
      </c>
      <c r="Y3" s="291">
        <f>'Calcul de la réserve'!Y8</f>
        <v>0.12116040475035422</v>
      </c>
      <c r="Z3" s="291">
        <f>'Calcul de la réserve'!Z8</f>
        <v>0.11007667265659983</v>
      </c>
      <c r="AA3" s="291">
        <f>'Calcul de la réserve'!AA8</f>
        <v>0.10000687838666872</v>
      </c>
      <c r="AB3" s="291">
        <f>'Calcul de la réserve'!AB8</f>
        <v>9.085826709030978E-2</v>
      </c>
      <c r="AC3" s="291">
        <f>'Calcul de la réserve'!AC8</f>
        <v>8.254656911433525E-2</v>
      </c>
      <c r="AD3" s="291">
        <f>'Calcul de la réserve'!AD8</f>
        <v>7.4995223778315342E-2</v>
      </c>
      <c r="AE3" s="291">
        <f>'Calcul de la réserve'!AE8</f>
        <v>6.813467415913313E-2</v>
      </c>
      <c r="AF3" s="291">
        <f>'Calcul de la réserve'!AF8</f>
        <v>6.1901726388521844E-2</v>
      </c>
      <c r="AG3" s="291">
        <f>'Calcul de la réserve'!AG8</f>
        <v>5.6238967561948537E-2</v>
      </c>
      <c r="AH3" s="291">
        <f>'Calcul de la réserve'!AH8</f>
        <v>5.1094236897088668E-2</v>
      </c>
      <c r="AI3" s="291">
        <f>'Calcul de la réserve'!AI8</f>
        <v>4.6420145270628536E-2</v>
      </c>
      <c r="AJ3" s="291">
        <f>'Calcul de la réserve'!AJ8</f>
        <v>4.2173638707754889E-2</v>
      </c>
      <c r="AK3" s="291">
        <f>'Calcul de la réserve'!AK8</f>
        <v>3.8315601803547712E-2</v>
      </c>
      <c r="AL3" s="291">
        <f>'Calcul de la réserve'!AL8</f>
        <v>3.4810497423312853E-2</v>
      </c>
      <c r="AM3" s="291">
        <f>'Calcul de la réserve'!AM8</f>
        <v>3.1626039363063602E-2</v>
      </c>
      <c r="AN3" s="291">
        <f>'Calcul de la réserve'!AN8</f>
        <v>2.8732894954962715E-2</v>
      </c>
      <c r="AO3" s="291">
        <f>'Calcul de la réserve'!AO8</f>
        <v>2.6104414878365227E-2</v>
      </c>
      <c r="AP3" s="291">
        <f>'Calcul de la réserve'!AP8</f>
        <v>2.3716387687698629E-2</v>
      </c>
      <c r="AQ3" s="291">
        <f>'Calcul de la réserve'!AQ8</f>
        <v>2.1546816796088528E-2</v>
      </c>
      <c r="AR3" s="291">
        <f>'Calcul de la réserve'!AR8</f>
        <v>1.9575717860482223E-2</v>
      </c>
      <c r="AS3" s="291">
        <f>'Calcul de la réserve'!AS8</f>
        <v>1.7784934701944834E-2</v>
      </c>
      <c r="AT3" s="291">
        <f>'Calcul de la réserve'!AT8</f>
        <v>1.6157972065533734E-2</v>
      </c>
      <c r="AU3" s="291">
        <f>'Calcul de la réserve'!AU8</f>
        <v>1.4679843679269661E-2</v>
      </c>
      <c r="AV3" s="291">
        <f>'Calcul de la réserve'!AV8</f>
        <v>1.3336934212645889E-2</v>
      </c>
      <c r="AW3" s="291">
        <f>'Calcul de la réserve'!AW8</f>
        <v>1.2116873863148237E-2</v>
      </c>
      <c r="AX3" s="291">
        <f>'Calcul de la réserve'!AX8</f>
        <v>1.1008424415577724E-2</v>
      </c>
      <c r="AY3" s="291">
        <f>'Calcul de la réserve'!AY8</f>
        <v>1.0001375724645949E-2</v>
      </c>
      <c r="AZ3" s="292">
        <f>'Calcul de la réserve'!AZ8</f>
        <v>9.0864516673240768E-3</v>
      </c>
    </row>
    <row r="4" spans="1:52">
      <c r="A4" s="83" t="s">
        <v>48</v>
      </c>
      <c r="B4" s="293" t="str">
        <f>'Tableau de bord'!B137</f>
        <v>Scénario modélisé</v>
      </c>
      <c r="C4" s="294">
        <f>'Tableau de bord'!C137</f>
        <v>2.3598477406709919</v>
      </c>
      <c r="D4" s="295">
        <f>'Tableau de bord'!D137</f>
        <v>2.7</v>
      </c>
      <c r="E4" s="295">
        <f>'Tableau de bord'!E137</f>
        <v>3.3</v>
      </c>
      <c r="F4" s="295">
        <f>'Tableau de bord'!F137</f>
        <v>4.3109788845727763</v>
      </c>
      <c r="G4" s="295">
        <f>'Tableau de bord'!G137</f>
        <v>6.0373468274943214</v>
      </c>
      <c r="H4" s="295">
        <f>'Tableau de bord'!H137</f>
        <v>7.5093935739168698</v>
      </c>
      <c r="I4" s="295">
        <f>'Tableau de bord'!I137</f>
        <v>9.1306059137761419</v>
      </c>
      <c r="J4" s="295">
        <f>'Tableau de bord'!J137</f>
        <v>11.328865733808916</v>
      </c>
      <c r="K4" s="295">
        <f>'Tableau de bord'!K137</f>
        <v>13.375883907386843</v>
      </c>
      <c r="L4" s="295">
        <f>'Tableau de bord'!L137</f>
        <v>15.231929963107072</v>
      </c>
      <c r="M4" s="295">
        <f>'Tableau de bord'!M137</f>
        <v>16.879685327502475</v>
      </c>
      <c r="N4" s="295">
        <f>'Tableau de bord'!N137</f>
        <v>18.317205699447193</v>
      </c>
      <c r="O4" s="295">
        <f>'Tableau de bord'!O137</f>
        <v>19.553150780422047</v>
      </c>
      <c r="P4" s="295">
        <f>'Tableau de bord'!P137</f>
        <v>20.60326318239003</v>
      </c>
      <c r="Q4" s="295">
        <f>'Tableau de bord'!Q137</f>
        <v>21.486784440673294</v>
      </c>
      <c r="R4" s="295">
        <f>'Tableau de bord'!R137</f>
        <v>22.224415951428892</v>
      </c>
      <c r="S4" s="295">
        <f>'Tableau de bord'!S137</f>
        <v>22.835548062974979</v>
      </c>
      <c r="T4" s="295">
        <f>'Tableau de bord'!T137</f>
        <v>23.337678794907305</v>
      </c>
      <c r="U4" s="295">
        <f>'Tableau de bord'!U137</f>
        <v>23.747172843893566</v>
      </c>
      <c r="V4" s="295">
        <f>'Tableau de bord'!V137</f>
        <v>24.077396983815497</v>
      </c>
      <c r="W4" s="295">
        <f>'Tableau de bord'!W137</f>
        <v>24.340986653886407</v>
      </c>
      <c r="X4" s="295">
        <f>'Tableau de bord'!X137</f>
        <v>24.547058719499724</v>
      </c>
      <c r="Y4" s="295">
        <f>'Tableau de bord'!Y137</f>
        <v>24.704288439898956</v>
      </c>
      <c r="Z4" s="295">
        <f>'Tableau de bord'!Z137</f>
        <v>24.819979964233632</v>
      </c>
      <c r="AA4" s="295">
        <f>'Tableau de bord'!AA137</f>
        <v>24.900138056735223</v>
      </c>
      <c r="AB4" s="295">
        <f>'Tableau de bord'!AB137</f>
        <v>25</v>
      </c>
      <c r="AC4" s="295">
        <f>'Tableau de bord'!AC137</f>
        <v>25</v>
      </c>
      <c r="AD4" s="295">
        <f>'Tableau de bord'!AD137</f>
        <v>25</v>
      </c>
      <c r="AE4" s="295">
        <f>'Tableau de bord'!AE137</f>
        <v>25</v>
      </c>
      <c r="AF4" s="295">
        <f>'Tableau de bord'!AF137</f>
        <v>25</v>
      </c>
      <c r="AG4" s="295">
        <f>'Tableau de bord'!AG137</f>
        <v>25</v>
      </c>
      <c r="AH4" s="295">
        <f>'Tableau de bord'!AH137</f>
        <v>25</v>
      </c>
      <c r="AI4" s="295">
        <f>'Tableau de bord'!AI137</f>
        <v>25</v>
      </c>
      <c r="AJ4" s="295">
        <f>'Tableau de bord'!AJ137</f>
        <v>25</v>
      </c>
      <c r="AK4" s="295">
        <f>'Tableau de bord'!AK137</f>
        <v>25</v>
      </c>
      <c r="AL4" s="295">
        <f>'Tableau de bord'!AL137</f>
        <v>25</v>
      </c>
      <c r="AM4" s="295">
        <f>'Tableau de bord'!AM137</f>
        <v>25</v>
      </c>
      <c r="AN4" s="295">
        <f>'Tableau de bord'!AN137</f>
        <v>25</v>
      </c>
      <c r="AO4" s="295">
        <f>'Tableau de bord'!AO137</f>
        <v>25</v>
      </c>
      <c r="AP4" s="295">
        <f>'Tableau de bord'!AP137</f>
        <v>25</v>
      </c>
      <c r="AQ4" s="295">
        <f>'Tableau de bord'!AQ137</f>
        <v>25</v>
      </c>
      <c r="AR4" s="295">
        <f>'Tableau de bord'!AR137</f>
        <v>25</v>
      </c>
      <c r="AS4" s="295">
        <f>'Tableau de bord'!AS137</f>
        <v>25</v>
      </c>
      <c r="AT4" s="295">
        <f>'Tableau de bord'!AT137</f>
        <v>25</v>
      </c>
      <c r="AU4" s="295">
        <f>'Tableau de bord'!AU137</f>
        <v>25</v>
      </c>
      <c r="AV4" s="295">
        <f>'Tableau de bord'!AV137</f>
        <v>25</v>
      </c>
      <c r="AW4" s="295">
        <f>'Tableau de bord'!AW137</f>
        <v>25</v>
      </c>
      <c r="AX4" s="295">
        <f>'Tableau de bord'!AX137</f>
        <v>25</v>
      </c>
      <c r="AY4" s="295">
        <f>'Tableau de bord'!AY137</f>
        <v>25</v>
      </c>
      <c r="AZ4" s="296">
        <f>'Tableau de bord'!AZ137</f>
        <v>25</v>
      </c>
    </row>
    <row r="5" spans="1:52">
      <c r="A5" s="83" t="s">
        <v>50</v>
      </c>
      <c r="B5" s="19"/>
      <c r="C5" s="297">
        <f>SUM('Revenus non récurrents'!$C$7:C7)</f>
        <v>8000</v>
      </c>
      <c r="D5" s="298">
        <f>SUM('Revenus non récurrents'!$C$7:D7)</f>
        <v>21000</v>
      </c>
      <c r="E5" s="298">
        <f>SUM('Revenus non récurrents'!$C$7:E7)</f>
        <v>36000</v>
      </c>
      <c r="F5" s="298">
        <f>SUM('Revenus non récurrents'!$C$7:F7)</f>
        <v>52000</v>
      </c>
      <c r="G5" s="298">
        <f>SUM('Revenus non récurrents'!$C$7:G7)</f>
        <v>67000</v>
      </c>
      <c r="H5" s="298">
        <f>SUM('Revenus non récurrents'!$C$7:H7)</f>
        <v>80000</v>
      </c>
      <c r="I5" s="298">
        <f>SUM('Revenus non récurrents'!$C$7:I7)</f>
        <v>89000</v>
      </c>
      <c r="J5" s="298">
        <f>SUM('Revenus non récurrents'!$C$7:J7)</f>
        <v>97000</v>
      </c>
      <c r="K5" s="298">
        <f>SUM('Revenus non récurrents'!$C$7:K7)</f>
        <v>100000</v>
      </c>
      <c r="L5" s="298">
        <f>SUM('Revenus non récurrents'!$C$7:L7)</f>
        <v>100000</v>
      </c>
      <c r="M5" s="298">
        <f>SUM('Revenus non récurrents'!$C$7:M7)</f>
        <v>100000</v>
      </c>
      <c r="N5" s="298">
        <f>SUM('Revenus non récurrents'!$C$7:N7)</f>
        <v>100000</v>
      </c>
      <c r="O5" s="298">
        <f>SUM('Revenus non récurrents'!$C$7:O7)</f>
        <v>100000</v>
      </c>
      <c r="P5" s="298">
        <f>SUM('Revenus non récurrents'!$C$7:P7)</f>
        <v>100000</v>
      </c>
      <c r="Q5" s="298">
        <f>SUM('Revenus non récurrents'!$C$7:Q7)</f>
        <v>100000</v>
      </c>
      <c r="R5" s="298">
        <f>SUM('Revenus non récurrents'!$C$7:R7)</f>
        <v>100000</v>
      </c>
      <c r="S5" s="298">
        <f>SUM('Revenus non récurrents'!$C$7:S7)</f>
        <v>100000</v>
      </c>
      <c r="T5" s="298">
        <f>SUM('Revenus non récurrents'!$C$7:T7)</f>
        <v>100000</v>
      </c>
      <c r="U5" s="298">
        <f>SUM('Revenus non récurrents'!$C$7:U7)</f>
        <v>100000</v>
      </c>
      <c r="V5" s="298">
        <f>SUM('Revenus non récurrents'!$C$7:V7)</f>
        <v>100000</v>
      </c>
      <c r="W5" s="298">
        <f>SUM('Revenus non récurrents'!$C$7:W7)</f>
        <v>100000</v>
      </c>
      <c r="X5" s="298">
        <f>SUM('Revenus non récurrents'!$C$7:X7)</f>
        <v>100000</v>
      </c>
      <c r="Y5" s="298">
        <f>SUM('Revenus non récurrents'!$C$7:Y7)</f>
        <v>100000</v>
      </c>
      <c r="Z5" s="298">
        <f>SUM('Revenus non récurrents'!$C$7:Z7)</f>
        <v>100000</v>
      </c>
      <c r="AA5" s="298">
        <f>SUM('Revenus non récurrents'!$C$7:AA7)</f>
        <v>100000</v>
      </c>
      <c r="AB5" s="298">
        <f>SUM('Revenus non récurrents'!$C$7:AB7)</f>
        <v>100000</v>
      </c>
      <c r="AC5" s="298">
        <f>SUM('Revenus non récurrents'!$C$7:AC7)</f>
        <v>100000</v>
      </c>
      <c r="AD5" s="298">
        <f>SUM('Revenus non récurrents'!$C$7:AD7)</f>
        <v>100000</v>
      </c>
      <c r="AE5" s="298">
        <f>SUM('Revenus non récurrents'!$C$7:AE7)</f>
        <v>100000</v>
      </c>
      <c r="AF5" s="298">
        <f>SUM('Revenus non récurrents'!$C$7:AF7)</f>
        <v>100000</v>
      </c>
      <c r="AG5" s="298">
        <f>SUM('Revenus non récurrents'!$C$7:AG7)</f>
        <v>100000</v>
      </c>
      <c r="AH5" s="298">
        <f>SUM('Revenus non récurrents'!$C$7:AH7)</f>
        <v>100000</v>
      </c>
      <c r="AI5" s="298">
        <f>SUM('Revenus non récurrents'!$C$7:AI7)</f>
        <v>100000</v>
      </c>
      <c r="AJ5" s="298">
        <f>SUM('Revenus non récurrents'!$C$7:AJ7)</f>
        <v>100000</v>
      </c>
      <c r="AK5" s="298">
        <f>SUM('Revenus non récurrents'!$C$7:AK7)</f>
        <v>100000</v>
      </c>
      <c r="AL5" s="298">
        <f>SUM('Revenus non récurrents'!$C$7:AL7)</f>
        <v>100000</v>
      </c>
      <c r="AM5" s="298">
        <f>SUM('Revenus non récurrents'!$C$7:AM7)</f>
        <v>100000</v>
      </c>
      <c r="AN5" s="298">
        <f>SUM('Revenus non récurrents'!$C$7:AN7)</f>
        <v>100000</v>
      </c>
      <c r="AO5" s="298">
        <f>SUM('Revenus non récurrents'!$C$7:AO7)</f>
        <v>100000</v>
      </c>
      <c r="AP5" s="298">
        <f>SUM('Revenus non récurrents'!$C$7:AP7)</f>
        <v>100000</v>
      </c>
      <c r="AQ5" s="298">
        <f>SUM('Revenus non récurrents'!$C$7:AQ7)</f>
        <v>100000</v>
      </c>
      <c r="AR5" s="298">
        <f>SUM('Revenus non récurrents'!$C$7:AR7)</f>
        <v>100000</v>
      </c>
      <c r="AS5" s="298">
        <f>SUM('Revenus non récurrents'!$C$7:AS7)</f>
        <v>100000</v>
      </c>
      <c r="AT5" s="298">
        <f>SUM('Revenus non récurrents'!$C$7:AT7)</f>
        <v>100000</v>
      </c>
      <c r="AU5" s="298">
        <f>SUM('Revenus non récurrents'!$C$7:AU7)</f>
        <v>100000</v>
      </c>
      <c r="AV5" s="298">
        <f>SUM('Revenus non récurrents'!$C$7:AV7)</f>
        <v>100000</v>
      </c>
      <c r="AW5" s="298">
        <f>SUM('Revenus non récurrents'!$C$7:AW7)</f>
        <v>100000</v>
      </c>
      <c r="AX5" s="298">
        <f>SUM('Revenus non récurrents'!$C$7:AX7)</f>
        <v>100000</v>
      </c>
      <c r="AY5" s="298">
        <f>SUM('Revenus non récurrents'!$C$7:AY7)</f>
        <v>100000</v>
      </c>
      <c r="AZ5" s="299">
        <f>SUM('Revenus non récurrents'!$C$7:AZ7)</f>
        <v>100000</v>
      </c>
    </row>
    <row r="6" spans="1:52">
      <c r="A6" s="83" t="s">
        <v>49</v>
      </c>
      <c r="B6" s="19"/>
      <c r="C6" s="297">
        <f>C5/2</f>
        <v>4000</v>
      </c>
      <c r="D6" s="298">
        <f>(C5+D5)/2</f>
        <v>14500</v>
      </c>
      <c r="E6" s="298">
        <f t="shared" ref="E6:AF6" si="0">(D5+E5)/2</f>
        <v>28500</v>
      </c>
      <c r="F6" s="298">
        <f t="shared" si="0"/>
        <v>44000</v>
      </c>
      <c r="G6" s="298">
        <f t="shared" si="0"/>
        <v>59500</v>
      </c>
      <c r="H6" s="298">
        <f t="shared" si="0"/>
        <v>73500</v>
      </c>
      <c r="I6" s="298">
        <f t="shared" si="0"/>
        <v>84500</v>
      </c>
      <c r="J6" s="298">
        <f t="shared" si="0"/>
        <v>93000</v>
      </c>
      <c r="K6" s="298">
        <f t="shared" si="0"/>
        <v>98500</v>
      </c>
      <c r="L6" s="298">
        <f t="shared" si="0"/>
        <v>100000</v>
      </c>
      <c r="M6" s="298">
        <f t="shared" si="0"/>
        <v>100000</v>
      </c>
      <c r="N6" s="298">
        <f t="shared" si="0"/>
        <v>100000</v>
      </c>
      <c r="O6" s="298">
        <f t="shared" si="0"/>
        <v>100000</v>
      </c>
      <c r="P6" s="298">
        <f t="shared" si="0"/>
        <v>100000</v>
      </c>
      <c r="Q6" s="298">
        <f t="shared" si="0"/>
        <v>100000</v>
      </c>
      <c r="R6" s="298">
        <f t="shared" si="0"/>
        <v>100000</v>
      </c>
      <c r="S6" s="298">
        <f t="shared" si="0"/>
        <v>100000</v>
      </c>
      <c r="T6" s="298">
        <f t="shared" si="0"/>
        <v>100000</v>
      </c>
      <c r="U6" s="298">
        <f t="shared" si="0"/>
        <v>100000</v>
      </c>
      <c r="V6" s="298">
        <f t="shared" si="0"/>
        <v>100000</v>
      </c>
      <c r="W6" s="298">
        <f t="shared" si="0"/>
        <v>100000</v>
      </c>
      <c r="X6" s="298">
        <f t="shared" si="0"/>
        <v>100000</v>
      </c>
      <c r="Y6" s="298">
        <f t="shared" si="0"/>
        <v>100000</v>
      </c>
      <c r="Z6" s="298">
        <f t="shared" si="0"/>
        <v>100000</v>
      </c>
      <c r="AA6" s="298">
        <f t="shared" si="0"/>
        <v>100000</v>
      </c>
      <c r="AB6" s="298">
        <f t="shared" si="0"/>
        <v>100000</v>
      </c>
      <c r="AC6" s="298">
        <f t="shared" si="0"/>
        <v>100000</v>
      </c>
      <c r="AD6" s="298">
        <f t="shared" si="0"/>
        <v>100000</v>
      </c>
      <c r="AE6" s="298">
        <f t="shared" si="0"/>
        <v>100000</v>
      </c>
      <c r="AF6" s="298">
        <f t="shared" si="0"/>
        <v>100000</v>
      </c>
      <c r="AG6" s="298">
        <f t="shared" ref="AG6" si="1">(AF5+AG5)/2</f>
        <v>100000</v>
      </c>
      <c r="AH6" s="298">
        <f t="shared" ref="AH6" si="2">(AG5+AH5)/2</f>
        <v>100000</v>
      </c>
      <c r="AI6" s="298">
        <f t="shared" ref="AI6" si="3">(AH5+AI5)/2</f>
        <v>100000</v>
      </c>
      <c r="AJ6" s="298">
        <f t="shared" ref="AJ6" si="4">(AI5+AJ5)/2</f>
        <v>100000</v>
      </c>
      <c r="AK6" s="298">
        <f t="shared" ref="AK6" si="5">(AJ5+AK5)/2</f>
        <v>100000</v>
      </c>
      <c r="AL6" s="298">
        <f t="shared" ref="AL6" si="6">(AK5+AL5)/2</f>
        <v>100000</v>
      </c>
      <c r="AM6" s="298">
        <f t="shared" ref="AM6" si="7">(AL5+AM5)/2</f>
        <v>100000</v>
      </c>
      <c r="AN6" s="298">
        <f t="shared" ref="AN6" si="8">(AM5+AN5)/2</f>
        <v>100000</v>
      </c>
      <c r="AO6" s="298">
        <f t="shared" ref="AO6" si="9">(AN5+AO5)/2</f>
        <v>100000</v>
      </c>
      <c r="AP6" s="298">
        <f t="shared" ref="AP6" si="10">(AO5+AP5)/2</f>
        <v>100000</v>
      </c>
      <c r="AQ6" s="298">
        <f t="shared" ref="AQ6" si="11">(AP5+AQ5)/2</f>
        <v>100000</v>
      </c>
      <c r="AR6" s="298">
        <f t="shared" ref="AR6" si="12">(AQ5+AR5)/2</f>
        <v>100000</v>
      </c>
      <c r="AS6" s="298">
        <f t="shared" ref="AS6" si="13">(AR5+AS5)/2</f>
        <v>100000</v>
      </c>
      <c r="AT6" s="298">
        <f t="shared" ref="AT6" si="14">(AS5+AT5)/2</f>
        <v>100000</v>
      </c>
      <c r="AU6" s="298">
        <f t="shared" ref="AU6" si="15">(AT5+AU5)/2</f>
        <v>100000</v>
      </c>
      <c r="AV6" s="298">
        <f t="shared" ref="AV6" si="16">(AU5+AV5)/2</f>
        <v>100000</v>
      </c>
      <c r="AW6" s="298">
        <f t="shared" ref="AW6" si="17">(AV5+AW5)/2</f>
        <v>100000</v>
      </c>
      <c r="AX6" s="298">
        <f t="shared" ref="AX6" si="18">(AW5+AX5)/2</f>
        <v>100000</v>
      </c>
      <c r="AY6" s="298">
        <f t="shared" ref="AY6" si="19">(AX5+AY5)/2</f>
        <v>100000</v>
      </c>
      <c r="AZ6" s="299">
        <f t="shared" ref="AZ6" si="20">(AY5+AZ5)/2</f>
        <v>100000</v>
      </c>
    </row>
    <row r="7" spans="1:52">
      <c r="A7" s="83" t="s">
        <v>28</v>
      </c>
      <c r="B7" s="287"/>
      <c r="C7" s="273">
        <f>'Calcul charges d''exploitation'!C6</f>
        <v>37.260506329113923</v>
      </c>
      <c r="D7" s="274">
        <f>'Calcul charges d''exploitation'!D6</f>
        <v>406.21976139240502</v>
      </c>
      <c r="E7" s="274">
        <f>'Calcul charges d''exploitation'!E6</f>
        <v>1846.5352756329114</v>
      </c>
      <c r="F7" s="274">
        <f>'Calcul charges d''exploitation'!F6</f>
        <v>5536.4882705696209</v>
      </c>
      <c r="G7" s="274">
        <f>'Calcul charges d''exploitation'!G6</f>
        <v>12111.478208623417</v>
      </c>
      <c r="H7" s="274">
        <f>'Calcul charges d''exploitation'!H6</f>
        <v>21374.676803124999</v>
      </c>
      <c r="I7" s="274">
        <f>'Calcul charges d''exploitation'!I6</f>
        <v>32249.961787143988</v>
      </c>
      <c r="J7" s="274">
        <f>'Calcul charges d''exploitation'!J6</f>
        <v>43001.675746439876</v>
      </c>
      <c r="K7" s="274">
        <f>'Calcul charges d''exploitation'!K6</f>
        <v>52635.847841787981</v>
      </c>
      <c r="L7" s="274">
        <f>'Calcul charges d''exploitation'!L6</f>
        <v>60301.282575767407</v>
      </c>
      <c r="M7" s="274">
        <f>'Calcul charges d''exploitation'!M6</f>
        <v>65748.070760680377</v>
      </c>
      <c r="N7" s="274">
        <f>'Calcul charges d''exploitation'!N6</f>
        <v>69455.561222903489</v>
      </c>
      <c r="O7" s="274">
        <f>'Calcul charges d''exploitation'!O6</f>
        <v>71565.582468417793</v>
      </c>
      <c r="P7" s="274">
        <f>'Calcul charges d''exploitation'!P6</f>
        <v>73046.392700649172</v>
      </c>
      <c r="Q7" s="274">
        <f>'Calcul charges d''exploitation'!Q6</f>
        <v>74442.672289356356</v>
      </c>
      <c r="R7" s="274">
        <f>'Calcul charges d''exploitation'!R6</f>
        <v>75497.802732987911</v>
      </c>
      <c r="S7" s="274">
        <f>'Calcul charges d''exploitation'!S6</f>
        <v>76585.558576138515</v>
      </c>
      <c r="T7" s="274">
        <f>'Calcul charges d''exploitation'!T6</f>
        <v>77482.45000209265</v>
      </c>
      <c r="U7" s="274">
        <f>'Calcul charges d''exploitation'!U6</f>
        <v>78321.37460328493</v>
      </c>
      <c r="V7" s="274">
        <f>'Calcul charges d''exploitation'!V6</f>
        <v>79082.218618132552</v>
      </c>
      <c r="W7" s="274">
        <f>'Calcul charges d''exploitation'!W6</f>
        <v>79653.439492344478</v>
      </c>
      <c r="X7" s="274">
        <f>'Calcul charges d''exploitation'!X6</f>
        <v>80260.910033075226</v>
      </c>
      <c r="Y7" s="274">
        <f>'Calcul charges d''exploitation'!Y6</f>
        <v>80495.793314790819</v>
      </c>
      <c r="Z7" s="274">
        <f>'Calcul charges d''exploitation'!Z6</f>
        <v>80495.793314790819</v>
      </c>
      <c r="AA7" s="274">
        <f>'Calcul charges d''exploitation'!AA6</f>
        <v>80495.793314790819</v>
      </c>
      <c r="AB7" s="274">
        <f>'Calcul charges d''exploitation'!AB6</f>
        <v>80495.793314790819</v>
      </c>
      <c r="AC7" s="274">
        <f>'Calcul charges d''exploitation'!AC6</f>
        <v>80495.793314790819</v>
      </c>
      <c r="AD7" s="274">
        <f>'Calcul charges d''exploitation'!AD6</f>
        <v>80495.793314790819</v>
      </c>
      <c r="AE7" s="274">
        <f>'Calcul charges d''exploitation'!AE6</f>
        <v>80495.793314790819</v>
      </c>
      <c r="AF7" s="274">
        <f>'Calcul charges d''exploitation'!AF6</f>
        <v>80495.793314790819</v>
      </c>
      <c r="AG7" s="274">
        <f>'Calcul charges d''exploitation'!AG6</f>
        <v>80495.793314790819</v>
      </c>
      <c r="AH7" s="274">
        <f>'Calcul charges d''exploitation'!AH6</f>
        <v>80495.793314790819</v>
      </c>
      <c r="AI7" s="274">
        <f>'Calcul charges d''exploitation'!AI6</f>
        <v>80495.793314790819</v>
      </c>
      <c r="AJ7" s="274">
        <f>'Calcul charges d''exploitation'!AJ6</f>
        <v>80495.793314790819</v>
      </c>
      <c r="AK7" s="274">
        <f>'Calcul charges d''exploitation'!AK6</f>
        <v>80495.793314790819</v>
      </c>
      <c r="AL7" s="274">
        <f>'Calcul charges d''exploitation'!AL6</f>
        <v>80495.793314790819</v>
      </c>
      <c r="AM7" s="274">
        <f>'Calcul charges d''exploitation'!AM6</f>
        <v>80495.793314790819</v>
      </c>
      <c r="AN7" s="274">
        <f>'Calcul charges d''exploitation'!AN6</f>
        <v>80495.793314790819</v>
      </c>
      <c r="AO7" s="274">
        <f>'Calcul charges d''exploitation'!AO6</f>
        <v>80495.793314790819</v>
      </c>
      <c r="AP7" s="274">
        <f>'Calcul charges d''exploitation'!AP6</f>
        <v>80495.793314790819</v>
      </c>
      <c r="AQ7" s="274">
        <f>'Calcul charges d''exploitation'!AQ6</f>
        <v>80495.793314790819</v>
      </c>
      <c r="AR7" s="274">
        <f>'Calcul charges d''exploitation'!AR6</f>
        <v>80495.793314790819</v>
      </c>
      <c r="AS7" s="274">
        <f>'Calcul charges d''exploitation'!AS6</f>
        <v>80495.793314790819</v>
      </c>
      <c r="AT7" s="274">
        <f>'Calcul charges d''exploitation'!AT6</f>
        <v>80495.793314790819</v>
      </c>
      <c r="AU7" s="274">
        <f>'Calcul charges d''exploitation'!AU6</f>
        <v>80495.793314790819</v>
      </c>
      <c r="AV7" s="274">
        <f>'Calcul charges d''exploitation'!AV6</f>
        <v>80495.793314790819</v>
      </c>
      <c r="AW7" s="274">
        <f>'Calcul charges d''exploitation'!AW6</f>
        <v>80495.793314790819</v>
      </c>
      <c r="AX7" s="274">
        <f>'Calcul charges d''exploitation'!AX6</f>
        <v>80495.793314790819</v>
      </c>
      <c r="AY7" s="274">
        <f>'Calcul charges d''exploitation'!AY6</f>
        <v>80495.793314790819</v>
      </c>
      <c r="AZ7" s="275">
        <f>'Calcul charges d''exploitation'!AZ6</f>
        <v>80495.793314790819</v>
      </c>
    </row>
    <row r="8" spans="1:52">
      <c r="A8" s="300" t="s">
        <v>17</v>
      </c>
      <c r="B8" s="301"/>
      <c r="C8" s="106">
        <f>C6*C4</f>
        <v>9439.3909626839668</v>
      </c>
      <c r="D8" s="107">
        <f t="shared" ref="D8:AF8" si="21">D6*D4</f>
        <v>39150</v>
      </c>
      <c r="E8" s="107">
        <f t="shared" si="21"/>
        <v>94050</v>
      </c>
      <c r="F8" s="107">
        <f t="shared" si="21"/>
        <v>189683.07092120216</v>
      </c>
      <c r="G8" s="107">
        <f t="shared" si="21"/>
        <v>359222.1362359121</v>
      </c>
      <c r="H8" s="107">
        <f t="shared" si="21"/>
        <v>551940.42768288997</v>
      </c>
      <c r="I8" s="107">
        <f t="shared" si="21"/>
        <v>771536.19971408404</v>
      </c>
      <c r="J8" s="107">
        <f t="shared" si="21"/>
        <v>1053584.5132442291</v>
      </c>
      <c r="K8" s="107">
        <f t="shared" si="21"/>
        <v>1317524.5648776041</v>
      </c>
      <c r="L8" s="107">
        <f t="shared" si="21"/>
        <v>1523192.9963107072</v>
      </c>
      <c r="M8" s="107">
        <f t="shared" si="21"/>
        <v>1687968.5327502475</v>
      </c>
      <c r="N8" s="107">
        <f t="shared" si="21"/>
        <v>1831720.5699447193</v>
      </c>
      <c r="O8" s="107">
        <f t="shared" si="21"/>
        <v>1955315.0780422047</v>
      </c>
      <c r="P8" s="107">
        <f t="shared" si="21"/>
        <v>2060326.318239003</v>
      </c>
      <c r="Q8" s="107">
        <f t="shared" si="21"/>
        <v>2148678.4440673292</v>
      </c>
      <c r="R8" s="107">
        <f t="shared" si="21"/>
        <v>2222441.5951428893</v>
      </c>
      <c r="S8" s="107">
        <f t="shared" si="21"/>
        <v>2283554.8062974978</v>
      </c>
      <c r="T8" s="107">
        <f t="shared" si="21"/>
        <v>2333767.8794907304</v>
      </c>
      <c r="U8" s="107">
        <f t="shared" si="21"/>
        <v>2374717.2843893566</v>
      </c>
      <c r="V8" s="107">
        <f t="shared" si="21"/>
        <v>2407739.6983815497</v>
      </c>
      <c r="W8" s="107">
        <f t="shared" si="21"/>
        <v>2434098.6653886409</v>
      </c>
      <c r="X8" s="107">
        <f t="shared" si="21"/>
        <v>2454705.8719499726</v>
      </c>
      <c r="Y8" s="107">
        <f t="shared" si="21"/>
        <v>2470428.8439898957</v>
      </c>
      <c r="Z8" s="107">
        <f t="shared" si="21"/>
        <v>2481997.9964233632</v>
      </c>
      <c r="AA8" s="107">
        <f t="shared" si="21"/>
        <v>2490013.8056735224</v>
      </c>
      <c r="AB8" s="107">
        <f t="shared" si="21"/>
        <v>2500000</v>
      </c>
      <c r="AC8" s="107">
        <f t="shared" si="21"/>
        <v>2500000</v>
      </c>
      <c r="AD8" s="107">
        <f t="shared" si="21"/>
        <v>2500000</v>
      </c>
      <c r="AE8" s="107">
        <f t="shared" si="21"/>
        <v>2500000</v>
      </c>
      <c r="AF8" s="107">
        <f t="shared" si="21"/>
        <v>2500000</v>
      </c>
      <c r="AG8" s="107">
        <f t="shared" ref="AG8:AZ8" si="22">AG6*AG4</f>
        <v>2500000</v>
      </c>
      <c r="AH8" s="107">
        <f t="shared" si="22"/>
        <v>2500000</v>
      </c>
      <c r="AI8" s="107">
        <f t="shared" si="22"/>
        <v>2500000</v>
      </c>
      <c r="AJ8" s="107">
        <f t="shared" si="22"/>
        <v>2500000</v>
      </c>
      <c r="AK8" s="107">
        <f t="shared" si="22"/>
        <v>2500000</v>
      </c>
      <c r="AL8" s="107">
        <f t="shared" si="22"/>
        <v>2500000</v>
      </c>
      <c r="AM8" s="107">
        <f t="shared" si="22"/>
        <v>2500000</v>
      </c>
      <c r="AN8" s="107">
        <f t="shared" si="22"/>
        <v>2500000</v>
      </c>
      <c r="AO8" s="107">
        <f t="shared" si="22"/>
        <v>2500000</v>
      </c>
      <c r="AP8" s="107">
        <f t="shared" si="22"/>
        <v>2500000</v>
      </c>
      <c r="AQ8" s="107">
        <f t="shared" si="22"/>
        <v>2500000</v>
      </c>
      <c r="AR8" s="107">
        <f t="shared" si="22"/>
        <v>2500000</v>
      </c>
      <c r="AS8" s="107">
        <f t="shared" si="22"/>
        <v>2500000</v>
      </c>
      <c r="AT8" s="107">
        <f t="shared" si="22"/>
        <v>2500000</v>
      </c>
      <c r="AU8" s="107">
        <f t="shared" si="22"/>
        <v>2500000</v>
      </c>
      <c r="AV8" s="107">
        <f t="shared" si="22"/>
        <v>2500000</v>
      </c>
      <c r="AW8" s="107">
        <f t="shared" si="22"/>
        <v>2500000</v>
      </c>
      <c r="AX8" s="107">
        <f t="shared" si="22"/>
        <v>2500000</v>
      </c>
      <c r="AY8" s="107">
        <f t="shared" si="22"/>
        <v>2500000</v>
      </c>
      <c r="AZ8" s="302">
        <f t="shared" si="22"/>
        <v>2500000</v>
      </c>
    </row>
    <row r="9" spans="1:52">
      <c r="A9" s="300"/>
      <c r="B9" s="30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</row>
    <row r="10" spans="1:52">
      <c r="A10" s="300" t="s">
        <v>46</v>
      </c>
      <c r="B10" s="301"/>
      <c r="C10" s="303">
        <f ca="1">-C20/C21</f>
        <v>2.2272150184292503</v>
      </c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</row>
    <row r="11" spans="1:52"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</row>
    <row r="12" spans="1:52">
      <c r="A12" s="300" t="s">
        <v>72</v>
      </c>
      <c r="B12" s="301"/>
      <c r="C12" s="268">
        <f ca="1">'Revenus récurrents'!C17</f>
        <v>1041.0082741944341</v>
      </c>
      <c r="D12" s="269">
        <f ca="1">'Revenus récurrents'!D17</f>
        <v>11349.232053252097</v>
      </c>
      <c r="E12" s="269">
        <f ca="1">'Revenus récurrents'!E17</f>
        <v>51589.704217835126</v>
      </c>
      <c r="F12" s="269">
        <f ca="1">'Revenus récurrents'!F17</f>
        <v>154682.01233594102</v>
      </c>
      <c r="G12" s="269">
        <f ca="1">'Revenus récurrents'!G17</f>
        <v>338378.3600935943</v>
      </c>
      <c r="H12" s="269">
        <f ca="1">'Revenus récurrents'!H17</f>
        <v>597179.63072602486</v>
      </c>
      <c r="I12" s="269">
        <f ca="1">'Revenus récurrents'!I17</f>
        <v>901020.42002147925</v>
      </c>
      <c r="J12" s="269">
        <f ca="1">'Revenus récurrents'!J17</f>
        <v>1201408.8016107366</v>
      </c>
      <c r="K12" s="269">
        <f ca="1">'Revenus récurrents'!K17</f>
        <v>1470574.5713317466</v>
      </c>
      <c r="L12" s="269">
        <f ca="1">'Revenus récurrents'!L17</f>
        <v>1684736.47543703</v>
      </c>
      <c r="M12" s="269">
        <f ca="1">'Revenus récurrents'!M17</f>
        <v>1836912.3884049233</v>
      </c>
      <c r="N12" s="269">
        <f ca="1">'Revenus récurrents'!N17</f>
        <v>1940494.6696970998</v>
      </c>
      <c r="O12" s="269">
        <f ca="1">'Revenus récurrents'!O17</f>
        <v>1999445.816412735</v>
      </c>
      <c r="P12" s="269">
        <f ca="1">'Revenus récurrents'!P17</f>
        <v>2040817.656361677</v>
      </c>
      <c r="Q12" s="269">
        <f ca="1">'Revenus récurrents'!Q17</f>
        <v>2079827.8241810349</v>
      </c>
      <c r="R12" s="269">
        <f ca="1">'Revenus récurrents'!R17</f>
        <v>2109306.7451724182</v>
      </c>
      <c r="S12" s="269">
        <f ca="1">'Revenus récurrents'!S17</f>
        <v>2139697.1758075044</v>
      </c>
      <c r="T12" s="269">
        <f ca="1">'Revenus récurrents'!T17</f>
        <v>2164755.1121443156</v>
      </c>
      <c r="U12" s="269">
        <f ca="1">'Revenus récurrents'!U17</f>
        <v>2188193.5336073125</v>
      </c>
      <c r="V12" s="269">
        <f ca="1">'Revenus récurrents'!V17</f>
        <v>2209450.4888357716</v>
      </c>
      <c r="W12" s="269">
        <f ca="1">'Revenus récurrents'!W17</f>
        <v>2225409.6293583084</v>
      </c>
      <c r="X12" s="269">
        <f ca="1">'Revenus récurrents'!X17</f>
        <v>2242381.5366545855</v>
      </c>
      <c r="Y12" s="269">
        <f ca="1">'Revenus récurrents'!Y17</f>
        <v>2248943.8586363681</v>
      </c>
      <c r="Z12" s="269">
        <f ca="1">'Revenus récurrents'!Z17</f>
        <v>2248943.8586363681</v>
      </c>
      <c r="AA12" s="269">
        <f ca="1">'Revenus récurrents'!AA17</f>
        <v>2248943.8586363681</v>
      </c>
      <c r="AB12" s="269">
        <f ca="1">'Revenus récurrents'!AB17</f>
        <v>2248943.8586363681</v>
      </c>
      <c r="AC12" s="269">
        <f ca="1">'Revenus récurrents'!AC17</f>
        <v>2248943.8586363681</v>
      </c>
      <c r="AD12" s="269">
        <f ca="1">'Revenus récurrents'!AD17</f>
        <v>2248943.8586363681</v>
      </c>
      <c r="AE12" s="269">
        <f ca="1">'Revenus récurrents'!AE17</f>
        <v>2248943.8586363681</v>
      </c>
      <c r="AF12" s="269">
        <f ca="1">'Revenus récurrents'!AF17</f>
        <v>2248943.8586363681</v>
      </c>
      <c r="AG12" s="269">
        <f ca="1">'Revenus récurrents'!AG17</f>
        <v>2248943.8586363681</v>
      </c>
      <c r="AH12" s="269">
        <f ca="1">'Revenus récurrents'!AH17</f>
        <v>2248943.8586363681</v>
      </c>
      <c r="AI12" s="269">
        <f ca="1">'Revenus récurrents'!AI17</f>
        <v>2248943.8586363681</v>
      </c>
      <c r="AJ12" s="269">
        <f ca="1">'Revenus récurrents'!AJ17</f>
        <v>2248943.8586363681</v>
      </c>
      <c r="AK12" s="269">
        <f ca="1">'Revenus récurrents'!AK17</f>
        <v>2248943.8586363681</v>
      </c>
      <c r="AL12" s="269">
        <f ca="1">'Revenus récurrents'!AL17</f>
        <v>2248943.8586363681</v>
      </c>
      <c r="AM12" s="269">
        <f ca="1">'Revenus récurrents'!AM17</f>
        <v>2248943.8586363681</v>
      </c>
      <c r="AN12" s="269">
        <f ca="1">'Revenus récurrents'!AN17</f>
        <v>2248943.8586363681</v>
      </c>
      <c r="AO12" s="269">
        <f ca="1">'Revenus récurrents'!AO17</f>
        <v>2248943.8586363681</v>
      </c>
      <c r="AP12" s="269">
        <f ca="1">'Revenus récurrents'!AP17</f>
        <v>2248943.8586363681</v>
      </c>
      <c r="AQ12" s="269">
        <f ca="1">'Revenus récurrents'!AQ17</f>
        <v>2248943.8586363681</v>
      </c>
      <c r="AR12" s="269">
        <f ca="1">'Revenus récurrents'!AR17</f>
        <v>2248943.8586363681</v>
      </c>
      <c r="AS12" s="269">
        <f ca="1">'Revenus récurrents'!AS17</f>
        <v>2248943.8586363681</v>
      </c>
      <c r="AT12" s="269">
        <f ca="1">'Revenus récurrents'!AT17</f>
        <v>2248943.8586363681</v>
      </c>
      <c r="AU12" s="269">
        <f ca="1">'Revenus récurrents'!AU17</f>
        <v>2248943.8586363681</v>
      </c>
      <c r="AV12" s="269">
        <f ca="1">'Revenus récurrents'!AV17</f>
        <v>2248943.8586363681</v>
      </c>
      <c r="AW12" s="269">
        <f ca="1">'Revenus récurrents'!AW17</f>
        <v>2248943.8586363681</v>
      </c>
      <c r="AX12" s="269">
        <f ca="1">'Revenus récurrents'!AX17</f>
        <v>2248943.8586363681</v>
      </c>
      <c r="AY12" s="269">
        <f ca="1">'Revenus récurrents'!AY17</f>
        <v>2248943.8586363681</v>
      </c>
      <c r="AZ12" s="270">
        <f ca="1">'Revenus récurrents'!AZ17</f>
        <v>2248943.8586363681</v>
      </c>
    </row>
    <row r="13" spans="1:52">
      <c r="A13" s="300" t="s">
        <v>12</v>
      </c>
      <c r="B13" s="301"/>
      <c r="C13" s="268">
        <f t="shared" ref="C13:AH13" ca="1" si="23">C12-C8</f>
        <v>-8398.3826884895334</v>
      </c>
      <c r="D13" s="269">
        <f t="shared" ca="1" si="23"/>
        <v>-27800.767946747903</v>
      </c>
      <c r="E13" s="269">
        <f t="shared" ca="1" si="23"/>
        <v>-42460.295782164874</v>
      </c>
      <c r="F13" s="269">
        <f t="shared" ca="1" si="23"/>
        <v>-35001.05858526114</v>
      </c>
      <c r="G13" s="269">
        <f t="shared" ca="1" si="23"/>
        <v>-20843.776142317802</v>
      </c>
      <c r="H13" s="269">
        <f t="shared" ca="1" si="23"/>
        <v>45239.203043134883</v>
      </c>
      <c r="I13" s="269">
        <f t="shared" ca="1" si="23"/>
        <v>129484.22030739521</v>
      </c>
      <c r="J13" s="269">
        <f t="shared" ca="1" si="23"/>
        <v>147824.28836650751</v>
      </c>
      <c r="K13" s="269">
        <f t="shared" ca="1" si="23"/>
        <v>153050.00645414251</v>
      </c>
      <c r="L13" s="269">
        <f t="shared" ca="1" si="23"/>
        <v>161543.47912632278</v>
      </c>
      <c r="M13" s="269">
        <f t="shared" ca="1" si="23"/>
        <v>148943.85565467575</v>
      </c>
      <c r="N13" s="269">
        <f t="shared" ca="1" si="23"/>
        <v>108774.09975238051</v>
      </c>
      <c r="O13" s="269">
        <f t="shared" ca="1" si="23"/>
        <v>44130.738370530307</v>
      </c>
      <c r="P13" s="269">
        <f t="shared" ca="1" si="23"/>
        <v>-19508.661877325969</v>
      </c>
      <c r="Q13" s="269">
        <f t="shared" ca="1" si="23"/>
        <v>-68850.61988629424</v>
      </c>
      <c r="R13" s="269">
        <f t="shared" ca="1" si="23"/>
        <v>-113134.84997047111</v>
      </c>
      <c r="S13" s="269">
        <f t="shared" ca="1" si="23"/>
        <v>-143857.63048999337</v>
      </c>
      <c r="T13" s="269">
        <f t="shared" ca="1" si="23"/>
        <v>-169012.76734641474</v>
      </c>
      <c r="U13" s="269">
        <f t="shared" ca="1" si="23"/>
        <v>-186523.75078204414</v>
      </c>
      <c r="V13" s="269">
        <f t="shared" ca="1" si="23"/>
        <v>-198289.20954577811</v>
      </c>
      <c r="W13" s="269">
        <f t="shared" ca="1" si="23"/>
        <v>-208689.03603033256</v>
      </c>
      <c r="X13" s="269">
        <f t="shared" ca="1" si="23"/>
        <v>-212324.33529538708</v>
      </c>
      <c r="Y13" s="269">
        <f t="shared" ca="1" si="23"/>
        <v>-221484.98535352759</v>
      </c>
      <c r="Z13" s="269">
        <f t="shared" ca="1" si="23"/>
        <v>-233054.13778699515</v>
      </c>
      <c r="AA13" s="269">
        <f t="shared" ca="1" si="23"/>
        <v>-241069.94703715434</v>
      </c>
      <c r="AB13" s="269">
        <f t="shared" ca="1" si="23"/>
        <v>-251056.14136363193</v>
      </c>
      <c r="AC13" s="269">
        <f t="shared" ca="1" si="23"/>
        <v>-251056.14136363193</v>
      </c>
      <c r="AD13" s="269">
        <f t="shared" ca="1" si="23"/>
        <v>-251056.14136363193</v>
      </c>
      <c r="AE13" s="269">
        <f t="shared" ca="1" si="23"/>
        <v>-251056.14136363193</v>
      </c>
      <c r="AF13" s="269">
        <f t="shared" ca="1" si="23"/>
        <v>-251056.14136363193</v>
      </c>
      <c r="AG13" s="269">
        <f t="shared" ca="1" si="23"/>
        <v>-251056.14136363193</v>
      </c>
      <c r="AH13" s="269">
        <f t="shared" ca="1" si="23"/>
        <v>-251056.14136363193</v>
      </c>
      <c r="AI13" s="269">
        <f t="shared" ref="AI13:AZ13" ca="1" si="24">AI12-AI8</f>
        <v>-251056.14136363193</v>
      </c>
      <c r="AJ13" s="269">
        <f t="shared" ca="1" si="24"/>
        <v>-251056.14136363193</v>
      </c>
      <c r="AK13" s="269">
        <f t="shared" ca="1" si="24"/>
        <v>-251056.14136363193</v>
      </c>
      <c r="AL13" s="269">
        <f t="shared" ca="1" si="24"/>
        <v>-251056.14136363193</v>
      </c>
      <c r="AM13" s="269">
        <f t="shared" ca="1" si="24"/>
        <v>-251056.14136363193</v>
      </c>
      <c r="AN13" s="269">
        <f t="shared" ca="1" si="24"/>
        <v>-251056.14136363193</v>
      </c>
      <c r="AO13" s="269">
        <f t="shared" ca="1" si="24"/>
        <v>-251056.14136363193</v>
      </c>
      <c r="AP13" s="269">
        <f t="shared" ca="1" si="24"/>
        <v>-251056.14136363193</v>
      </c>
      <c r="AQ13" s="269">
        <f t="shared" ca="1" si="24"/>
        <v>-251056.14136363193</v>
      </c>
      <c r="AR13" s="269">
        <f t="shared" ca="1" si="24"/>
        <v>-251056.14136363193</v>
      </c>
      <c r="AS13" s="269">
        <f t="shared" ca="1" si="24"/>
        <v>-251056.14136363193</v>
      </c>
      <c r="AT13" s="269">
        <f t="shared" ca="1" si="24"/>
        <v>-251056.14136363193</v>
      </c>
      <c r="AU13" s="269">
        <f t="shared" ca="1" si="24"/>
        <v>-251056.14136363193</v>
      </c>
      <c r="AV13" s="269">
        <f t="shared" ca="1" si="24"/>
        <v>-251056.14136363193</v>
      </c>
      <c r="AW13" s="269">
        <f t="shared" ca="1" si="24"/>
        <v>-251056.14136363193</v>
      </c>
      <c r="AX13" s="269">
        <f t="shared" ca="1" si="24"/>
        <v>-251056.14136363193</v>
      </c>
      <c r="AY13" s="269">
        <f t="shared" ca="1" si="24"/>
        <v>-251056.14136363193</v>
      </c>
      <c r="AZ13" s="270">
        <f t="shared" ca="1" si="24"/>
        <v>-251056.14136363193</v>
      </c>
    </row>
    <row r="14" spans="1:52"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</row>
    <row r="15" spans="1:52">
      <c r="A15" s="83" t="s">
        <v>42</v>
      </c>
      <c r="B15" s="287"/>
      <c r="C15" s="279">
        <f ca="1">SUMPRODUCT((OFFSET(C13,,,1,'Tableau de bord'!B9)),(OFFSET(C3,,,1,'Tableau de bord'!B9)))</f>
        <v>-1.0404619388282299E-9</v>
      </c>
    </row>
    <row r="16" spans="1:52">
      <c r="A16" s="83"/>
      <c r="B16" s="304"/>
      <c r="C16" s="305"/>
      <c r="D16" s="252"/>
    </row>
    <row r="17" spans="1:52">
      <c r="A17" s="280" t="s">
        <v>21</v>
      </c>
      <c r="B17" s="304"/>
      <c r="C17" s="305"/>
      <c r="D17" s="252"/>
    </row>
    <row r="18" spans="1:52" hidden="1" outlineLevel="1">
      <c r="A18" s="83"/>
      <c r="B18" s="304"/>
      <c r="C18" s="306"/>
      <c r="D18" s="252"/>
    </row>
    <row r="19" spans="1:52" hidden="1" outlineLevel="1">
      <c r="A19" s="300" t="s">
        <v>76</v>
      </c>
      <c r="B19" s="301"/>
      <c r="C19" s="307">
        <f>C7*12*'Revenus récurrents'!$C$3</f>
        <v>467.40358051671552</v>
      </c>
      <c r="D19" s="308">
        <f>D7*12*'Revenus récurrents'!$C$3</f>
        <v>5095.7056051355903</v>
      </c>
      <c r="E19" s="308">
        <f>E7*12*'Revenus récurrents'!$C$3</f>
        <v>23163.324506593402</v>
      </c>
      <c r="F19" s="308">
        <f>F7*12*'Revenus récurrents'!$C$3</f>
        <v>69450.866241478085</v>
      </c>
      <c r="G19" s="308">
        <f>G7*12*'Revenus récurrents'!$C$3</f>
        <v>151928.91449350794</v>
      </c>
      <c r="H19" s="308">
        <f>H7*12*'Revenus récurrents'!$C$3</f>
        <v>268128.41408872476</v>
      </c>
      <c r="I19" s="308">
        <f>I7*12*'Revenus récurrents'!$C$3</f>
        <v>404550.26235272357</v>
      </c>
      <c r="J19" s="308">
        <f>J7*12*'Revenus récurrents'!$C$3</f>
        <v>539422.00985068514</v>
      </c>
      <c r="K19" s="308">
        <f>K7*12*'Revenus récurrents'!$C$3</f>
        <v>660275.07859069377</v>
      </c>
      <c r="L19" s="308">
        <f>L7*12*'Revenus récurrents'!$C$3</f>
        <v>756431.89431489876</v>
      </c>
      <c r="M19" s="308">
        <f>M7*12*'Revenus récurrents'!$C$3</f>
        <v>824757.54393054114</v>
      </c>
      <c r="N19" s="308">
        <f>N7*12*'Revenus récurrents'!$C$3</f>
        <v>871265.07932118711</v>
      </c>
      <c r="O19" s="308">
        <f>O7*12*'Revenus récurrents'!$C$3</f>
        <v>897733.6269144098</v>
      </c>
      <c r="P19" s="308">
        <f>P7*12*'Revenus récurrents'!$C$3</f>
        <v>916309.22002356534</v>
      </c>
      <c r="Q19" s="308">
        <f>Q7*12*'Revenus récurrents'!$C$3</f>
        <v>933824.44306964101</v>
      </c>
      <c r="R19" s="308">
        <f>R7*12*'Revenus récurrents'!$C$3</f>
        <v>947060.21992434876</v>
      </c>
      <c r="S19" s="308">
        <f>S7*12*'Revenus récurrents'!$C$3</f>
        <v>960705.25661080168</v>
      </c>
      <c r="T19" s="308">
        <f>T7*12*'Revenus récurrents'!$C$3</f>
        <v>971956.05014868104</v>
      </c>
      <c r="U19" s="308">
        <f>U7*12*'Revenus récurrents'!$C$3</f>
        <v>982479.69571906992</v>
      </c>
      <c r="V19" s="308">
        <f>V7*12*'Revenus récurrents'!$C$3</f>
        <v>992023.8820919916</v>
      </c>
      <c r="W19" s="308">
        <f>W7*12*'Revenus récurrents'!$C$3</f>
        <v>999189.39614900074</v>
      </c>
      <c r="X19" s="308">
        <f>X7*12*'Revenus récurrents'!$C$3</f>
        <v>1006809.6336006352</v>
      </c>
      <c r="Y19" s="308">
        <f>Y7*12*'Revenus récurrents'!$C$3</f>
        <v>1009756.0585876624</v>
      </c>
      <c r="Z19" s="308">
        <f>Z7*12*'Revenus récurrents'!$C$3</f>
        <v>1009756.0585876624</v>
      </c>
      <c r="AA19" s="308">
        <f>AA7*12*'Revenus récurrents'!$C$3</f>
        <v>1009756.0585876624</v>
      </c>
      <c r="AB19" s="308">
        <f>AB7*12*'Revenus récurrents'!$C$3</f>
        <v>1009756.0585876624</v>
      </c>
      <c r="AC19" s="308">
        <f>AC7*12*'Revenus récurrents'!$C$3</f>
        <v>1009756.0585876624</v>
      </c>
      <c r="AD19" s="308">
        <f>AD7*12*'Revenus récurrents'!$C$3</f>
        <v>1009756.0585876624</v>
      </c>
      <c r="AE19" s="308">
        <f>AE7*12*'Revenus récurrents'!$C$3</f>
        <v>1009756.0585876624</v>
      </c>
      <c r="AF19" s="308">
        <f>AF7*12*'Revenus récurrents'!$C$3</f>
        <v>1009756.0585876624</v>
      </c>
      <c r="AG19" s="308">
        <f>AG7*12*'Revenus récurrents'!$C$3</f>
        <v>1009756.0585876624</v>
      </c>
      <c r="AH19" s="308">
        <f>AH7*12*'Revenus récurrents'!$C$3</f>
        <v>1009756.0585876624</v>
      </c>
      <c r="AI19" s="308">
        <f>AI7*12*'Revenus récurrents'!$C$3</f>
        <v>1009756.0585876624</v>
      </c>
      <c r="AJ19" s="308">
        <f>AJ7*12*'Revenus récurrents'!$C$3</f>
        <v>1009756.0585876624</v>
      </c>
      <c r="AK19" s="308">
        <f>AK7*12*'Revenus récurrents'!$C$3</f>
        <v>1009756.0585876624</v>
      </c>
      <c r="AL19" s="308">
        <f>AL7*12*'Revenus récurrents'!$C$3</f>
        <v>1009756.0585876624</v>
      </c>
      <c r="AM19" s="308">
        <f>AM7*12*'Revenus récurrents'!$C$3</f>
        <v>1009756.0585876624</v>
      </c>
      <c r="AN19" s="308">
        <f>AN7*12*'Revenus récurrents'!$C$3</f>
        <v>1009756.0585876624</v>
      </c>
      <c r="AO19" s="308">
        <f>AO7*12*'Revenus récurrents'!$C$3</f>
        <v>1009756.0585876624</v>
      </c>
      <c r="AP19" s="308">
        <f>AP7*12*'Revenus récurrents'!$C$3</f>
        <v>1009756.0585876624</v>
      </c>
      <c r="AQ19" s="308">
        <f>AQ7*12*'Revenus récurrents'!$C$3</f>
        <v>1009756.0585876624</v>
      </c>
      <c r="AR19" s="308">
        <f>AR7*12*'Revenus récurrents'!$C$3</f>
        <v>1009756.0585876624</v>
      </c>
      <c r="AS19" s="308">
        <f>AS7*12*'Revenus récurrents'!$C$3</f>
        <v>1009756.0585876624</v>
      </c>
      <c r="AT19" s="308">
        <f>AT7*12*'Revenus récurrents'!$C$3</f>
        <v>1009756.0585876624</v>
      </c>
      <c r="AU19" s="308">
        <f>AU7*12*'Revenus récurrents'!$C$3</f>
        <v>1009756.0585876624</v>
      </c>
      <c r="AV19" s="308">
        <f>AV7*12*'Revenus récurrents'!$C$3</f>
        <v>1009756.0585876624</v>
      </c>
      <c r="AW19" s="308">
        <f>AW7*12*'Revenus récurrents'!$C$3</f>
        <v>1009756.0585876624</v>
      </c>
      <c r="AX19" s="308">
        <f>AX7*12*'Revenus récurrents'!$C$3</f>
        <v>1009756.0585876624</v>
      </c>
      <c r="AY19" s="308">
        <f>AY7*12*'Revenus récurrents'!$C$3</f>
        <v>1009756.0585876624</v>
      </c>
      <c r="AZ19" s="309">
        <f>AZ7*12*'Revenus récurrents'!$C$3</f>
        <v>1009756.0585876624</v>
      </c>
    </row>
    <row r="20" spans="1:52" hidden="1" outlineLevel="1">
      <c r="A20" s="300" t="s">
        <v>39</v>
      </c>
      <c r="B20" s="259" t="s">
        <v>40</v>
      </c>
      <c r="C20" s="286">
        <f ca="1">SUMPRODUCT(-(OFFSET(C8,,,1,'Tableau de bord'!B9)),(OFFSET(C3,,,1,'Tableau de bord'!B9)))</f>
        <v>-9926165.6692377422</v>
      </c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</row>
    <row r="21" spans="1:52" hidden="1" outlineLevel="1">
      <c r="A21" s="83"/>
      <c r="B21" s="259" t="s">
        <v>41</v>
      </c>
      <c r="C21" s="286">
        <f ca="1">SUMPRODUCT((OFFSET(C19,,,1,'Tableau de bord'!B9)),(OFFSET(C3,,,1,'Tableau de bord'!B9)))</f>
        <v>4456761.2857775176</v>
      </c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</row>
    <row r="22" spans="1:52" collapsed="1">
      <c r="A22" s="83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</row>
    <row r="23" spans="1:52">
      <c r="A23" s="300"/>
      <c r="B23" s="30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92D050"/>
  </sheetPr>
  <dimension ref="A1:AZ11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6.28515625" defaultRowHeight="12.75" outlineLevelRow="1"/>
  <cols>
    <col min="1" max="1" width="49.140625" style="5" bestFit="1" customWidth="1"/>
    <col min="2" max="2" width="28.42578125" style="23" bestFit="1" customWidth="1"/>
    <col min="3" max="32" width="13.42578125" style="259" bestFit="1" customWidth="1"/>
    <col min="33" max="52" width="13.42578125" style="67" bestFit="1" customWidth="1"/>
    <col min="53" max="16384" width="16.28515625" style="67"/>
  </cols>
  <sheetData>
    <row r="1" spans="1:52">
      <c r="A1" s="67"/>
      <c r="B1" s="258" t="s">
        <v>92</v>
      </c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</row>
    <row r="2" spans="1:52">
      <c r="A2" s="310" t="s">
        <v>8</v>
      </c>
      <c r="B2" s="311" t="str">
        <f>'Tableau de bord'!B53</f>
        <v>Modelisé</v>
      </c>
      <c r="C2" s="312">
        <f>'Tableau de bord'!C53</f>
        <v>140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X2" s="67"/>
      <c r="Y2" s="67"/>
      <c r="Z2" s="67"/>
      <c r="AA2" s="67"/>
      <c r="AB2" s="67"/>
      <c r="AC2" s="67"/>
      <c r="AD2" s="67"/>
      <c r="AE2" s="67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</row>
    <row r="3" spans="1:52">
      <c r="A3" s="310" t="s">
        <v>9</v>
      </c>
      <c r="B3" s="311" t="str">
        <f>'Tableau de bord'!B57</f>
        <v>Modélisé</v>
      </c>
      <c r="C3" s="312">
        <f>'Tableau de bord'!C57</f>
        <v>360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X3" s="67"/>
      <c r="Y3" s="67"/>
      <c r="Z3" s="67"/>
      <c r="AA3" s="67"/>
      <c r="AB3" s="67"/>
      <c r="AC3" s="67"/>
      <c r="AD3" s="67"/>
      <c r="AE3" s="67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</row>
    <row r="4" spans="1:52" s="317" customFormat="1">
      <c r="A4" s="313" t="s">
        <v>7</v>
      </c>
      <c r="B4" s="314"/>
      <c r="C4" s="315">
        <v>1</v>
      </c>
      <c r="D4" s="315">
        <v>2</v>
      </c>
      <c r="E4" s="315">
        <v>3</v>
      </c>
      <c r="F4" s="315">
        <v>4</v>
      </c>
      <c r="G4" s="315">
        <v>5</v>
      </c>
      <c r="H4" s="315">
        <v>6</v>
      </c>
      <c r="I4" s="315">
        <v>7</v>
      </c>
      <c r="J4" s="315">
        <v>8</v>
      </c>
      <c r="K4" s="315">
        <v>9</v>
      </c>
      <c r="L4" s="315">
        <v>10</v>
      </c>
      <c r="M4" s="315">
        <v>11</v>
      </c>
      <c r="N4" s="315">
        <v>12</v>
      </c>
      <c r="O4" s="315">
        <v>13</v>
      </c>
      <c r="P4" s="315">
        <v>14</v>
      </c>
      <c r="Q4" s="315">
        <v>15</v>
      </c>
      <c r="R4" s="315">
        <v>16</v>
      </c>
      <c r="S4" s="315">
        <v>17</v>
      </c>
      <c r="T4" s="315">
        <v>18</v>
      </c>
      <c r="U4" s="315">
        <v>19</v>
      </c>
      <c r="V4" s="315">
        <v>20</v>
      </c>
      <c r="W4" s="315">
        <v>21</v>
      </c>
      <c r="X4" s="315">
        <v>22</v>
      </c>
      <c r="Y4" s="315">
        <v>23</v>
      </c>
      <c r="Z4" s="315">
        <v>24</v>
      </c>
      <c r="AA4" s="315">
        <v>25</v>
      </c>
      <c r="AB4" s="315">
        <v>26</v>
      </c>
      <c r="AC4" s="315">
        <v>27</v>
      </c>
      <c r="AD4" s="315">
        <v>28</v>
      </c>
      <c r="AE4" s="315">
        <v>29</v>
      </c>
      <c r="AF4" s="316">
        <v>30</v>
      </c>
      <c r="AG4" s="316">
        <v>31</v>
      </c>
      <c r="AH4" s="316">
        <v>32</v>
      </c>
      <c r="AI4" s="316">
        <v>33</v>
      </c>
      <c r="AJ4" s="316">
        <v>34</v>
      </c>
      <c r="AK4" s="316">
        <v>35</v>
      </c>
      <c r="AL4" s="316">
        <v>36</v>
      </c>
      <c r="AM4" s="316">
        <v>37</v>
      </c>
      <c r="AN4" s="316">
        <v>38</v>
      </c>
      <c r="AO4" s="316">
        <v>39</v>
      </c>
      <c r="AP4" s="316">
        <v>40</v>
      </c>
      <c r="AQ4" s="316">
        <v>41</v>
      </c>
      <c r="AR4" s="316">
        <v>42</v>
      </c>
      <c r="AS4" s="316">
        <v>43</v>
      </c>
      <c r="AT4" s="316">
        <v>44</v>
      </c>
      <c r="AU4" s="316">
        <v>45</v>
      </c>
      <c r="AV4" s="316">
        <v>46</v>
      </c>
      <c r="AW4" s="316">
        <v>47</v>
      </c>
      <c r="AX4" s="316">
        <v>48</v>
      </c>
      <c r="AY4" s="316">
        <v>49</v>
      </c>
      <c r="AZ4" s="316">
        <v>50</v>
      </c>
    </row>
    <row r="5" spans="1:52" s="317" customFormat="1">
      <c r="A5" s="61" t="s">
        <v>111</v>
      </c>
      <c r="B5" s="318" t="str">
        <f>'Tableau de bord'!B79</f>
        <v>Régulation asymétrique 2014</v>
      </c>
      <c r="C5" s="319">
        <f>'Tableau de bord'!C79</f>
        <v>9.5000000000000001E-2</v>
      </c>
      <c r="D5" s="320">
        <f>'Tableau de bord'!D79</f>
        <v>9.5000000000000001E-2</v>
      </c>
      <c r="E5" s="320">
        <f>'Tableau de bord'!E79</f>
        <v>9.5000000000000001E-2</v>
      </c>
      <c r="F5" s="320">
        <f>'Tableau de bord'!F79</f>
        <v>9.5000000000000001E-2</v>
      </c>
      <c r="G5" s="320">
        <f>'Tableau de bord'!G79</f>
        <v>9.5000000000000001E-2</v>
      </c>
      <c r="H5" s="320">
        <f>'Tableau de bord'!H79</f>
        <v>9.5000000000000001E-2</v>
      </c>
      <c r="I5" s="320">
        <f>'Tableau de bord'!I79</f>
        <v>9.5000000000000001E-2</v>
      </c>
      <c r="J5" s="320">
        <f>'Tableau de bord'!J79</f>
        <v>9.5000000000000001E-2</v>
      </c>
      <c r="K5" s="320">
        <f>'Tableau de bord'!K79</f>
        <v>9.5000000000000001E-2</v>
      </c>
      <c r="L5" s="320">
        <f>'Tableau de bord'!L79</f>
        <v>9.5000000000000001E-2</v>
      </c>
      <c r="M5" s="320">
        <f>'Tableau de bord'!M79</f>
        <v>9.5000000000000001E-2</v>
      </c>
      <c r="N5" s="320">
        <f>'Tableau de bord'!N79</f>
        <v>9.5000000000000001E-2</v>
      </c>
      <c r="O5" s="320">
        <f>'Tableau de bord'!O79</f>
        <v>9.5000000000000001E-2</v>
      </c>
      <c r="P5" s="320">
        <f>'Tableau de bord'!P79</f>
        <v>9.5000000000000001E-2</v>
      </c>
      <c r="Q5" s="320">
        <f>'Tableau de bord'!Q79</f>
        <v>9.5000000000000001E-2</v>
      </c>
      <c r="R5" s="320">
        <f>'Tableau de bord'!R79</f>
        <v>9.5000000000000001E-2</v>
      </c>
      <c r="S5" s="320">
        <f>'Tableau de bord'!S79</f>
        <v>9.5000000000000001E-2</v>
      </c>
      <c r="T5" s="320">
        <f>'Tableau de bord'!T79</f>
        <v>9.5000000000000001E-2</v>
      </c>
      <c r="U5" s="320">
        <f>'Tableau de bord'!U79</f>
        <v>9.5000000000000001E-2</v>
      </c>
      <c r="V5" s="320">
        <f>'Tableau de bord'!V79</f>
        <v>9.5000000000000001E-2</v>
      </c>
      <c r="W5" s="320">
        <f>'Tableau de bord'!W79</f>
        <v>9.5000000000000001E-2</v>
      </c>
      <c r="X5" s="320">
        <f>'Tableau de bord'!X79</f>
        <v>9.5000000000000001E-2</v>
      </c>
      <c r="Y5" s="320">
        <f>'Tableau de bord'!Y79</f>
        <v>9.5000000000000001E-2</v>
      </c>
      <c r="Z5" s="320">
        <f>'Tableau de bord'!Z79</f>
        <v>9.5000000000000001E-2</v>
      </c>
      <c r="AA5" s="320">
        <f>'Tableau de bord'!AA79</f>
        <v>9.5000000000000001E-2</v>
      </c>
      <c r="AB5" s="320">
        <f>'Tableau de bord'!AB79</f>
        <v>9.5000000000000001E-2</v>
      </c>
      <c r="AC5" s="320">
        <f>'Tableau de bord'!AC79</f>
        <v>9.5000000000000001E-2</v>
      </c>
      <c r="AD5" s="320">
        <f>'Tableau de bord'!AD79</f>
        <v>9.5000000000000001E-2</v>
      </c>
      <c r="AE5" s="320">
        <f>'Tableau de bord'!AE79</f>
        <v>9.5000000000000001E-2</v>
      </c>
      <c r="AF5" s="320">
        <f>'Tableau de bord'!AF79</f>
        <v>9.5000000000000001E-2</v>
      </c>
      <c r="AG5" s="320">
        <f>'Tableau de bord'!AG79</f>
        <v>9.5000000000000001E-2</v>
      </c>
      <c r="AH5" s="320">
        <f>'Tableau de bord'!AH79</f>
        <v>9.5000000000000001E-2</v>
      </c>
      <c r="AI5" s="320">
        <f>'Tableau de bord'!AI79</f>
        <v>9.5000000000000001E-2</v>
      </c>
      <c r="AJ5" s="320">
        <f>'Tableau de bord'!AJ79</f>
        <v>9.5000000000000001E-2</v>
      </c>
      <c r="AK5" s="320">
        <f>'Tableau de bord'!AK79</f>
        <v>9.5000000000000001E-2</v>
      </c>
      <c r="AL5" s="320">
        <f>'Tableau de bord'!AL79</f>
        <v>9.5000000000000001E-2</v>
      </c>
      <c r="AM5" s="320">
        <f>'Tableau de bord'!AM79</f>
        <v>9.5000000000000001E-2</v>
      </c>
      <c r="AN5" s="320">
        <f>'Tableau de bord'!AN79</f>
        <v>9.5000000000000001E-2</v>
      </c>
      <c r="AO5" s="320">
        <f>'Tableau de bord'!AO79</f>
        <v>9.5000000000000001E-2</v>
      </c>
      <c r="AP5" s="320">
        <f>'Tableau de bord'!AP79</f>
        <v>9.5000000000000001E-2</v>
      </c>
      <c r="AQ5" s="320">
        <f>'Tableau de bord'!AQ79</f>
        <v>9.5000000000000001E-2</v>
      </c>
      <c r="AR5" s="320">
        <f>'Tableau de bord'!AR79</f>
        <v>9.5000000000000001E-2</v>
      </c>
      <c r="AS5" s="320">
        <f>'Tableau de bord'!AS79</f>
        <v>9.5000000000000001E-2</v>
      </c>
      <c r="AT5" s="320">
        <f>'Tableau de bord'!AT79</f>
        <v>9.5000000000000001E-2</v>
      </c>
      <c r="AU5" s="320">
        <f>'Tableau de bord'!AU79</f>
        <v>9.5000000000000001E-2</v>
      </c>
      <c r="AV5" s="320">
        <f>'Tableau de bord'!AV79</f>
        <v>9.5000000000000001E-2</v>
      </c>
      <c r="AW5" s="320">
        <f>'Tableau de bord'!AW79</f>
        <v>9.5000000000000001E-2</v>
      </c>
      <c r="AX5" s="320">
        <f>'Tableau de bord'!AX79</f>
        <v>9.5000000000000001E-2</v>
      </c>
      <c r="AY5" s="320">
        <f>'Tableau de bord'!AY79</f>
        <v>9.5000000000000001E-2</v>
      </c>
      <c r="AZ5" s="321">
        <f>'Tableau de bord'!AZ79</f>
        <v>9.5000000000000001E-2</v>
      </c>
    </row>
    <row r="6" spans="1:52" s="317" customFormat="1">
      <c r="A6" s="61" t="s">
        <v>0</v>
      </c>
      <c r="B6" s="318" t="str">
        <f>'Tableau de bord'!B87</f>
        <v>Exemple</v>
      </c>
      <c r="C6" s="319">
        <f>'Tableau de bord'!C87</f>
        <v>0.04</v>
      </c>
      <c r="D6" s="320">
        <f>'Tableau de bord'!D87</f>
        <v>0.04</v>
      </c>
      <c r="E6" s="320">
        <f>'Tableau de bord'!E87</f>
        <v>0.04</v>
      </c>
      <c r="F6" s="320">
        <f>'Tableau de bord'!F87</f>
        <v>0.04</v>
      </c>
      <c r="G6" s="320">
        <f>'Tableau de bord'!G87</f>
        <v>0.04</v>
      </c>
      <c r="H6" s="320">
        <f>'Tableau de bord'!H87</f>
        <v>0.04</v>
      </c>
      <c r="I6" s="320">
        <f>'Tableau de bord'!I87</f>
        <v>0.04</v>
      </c>
      <c r="J6" s="320">
        <f>'Tableau de bord'!J87</f>
        <v>0.04</v>
      </c>
      <c r="K6" s="320">
        <f>'Tableau de bord'!K87</f>
        <v>0.04</v>
      </c>
      <c r="L6" s="320">
        <f>'Tableau de bord'!L87</f>
        <v>0.04</v>
      </c>
      <c r="M6" s="320">
        <f>'Tableau de bord'!M87</f>
        <v>0.04</v>
      </c>
      <c r="N6" s="320">
        <f>'Tableau de bord'!N87</f>
        <v>0.04</v>
      </c>
      <c r="O6" s="320">
        <f>'Tableau de bord'!O87</f>
        <v>0.04</v>
      </c>
      <c r="P6" s="320">
        <f>'Tableau de bord'!P87</f>
        <v>0.04</v>
      </c>
      <c r="Q6" s="320">
        <f>'Tableau de bord'!Q87</f>
        <v>0.04</v>
      </c>
      <c r="R6" s="320">
        <f>'Tableau de bord'!R87</f>
        <v>0.04</v>
      </c>
      <c r="S6" s="320">
        <f>'Tableau de bord'!S87</f>
        <v>0.04</v>
      </c>
      <c r="T6" s="320">
        <f>'Tableau de bord'!T87</f>
        <v>0.04</v>
      </c>
      <c r="U6" s="320">
        <f>'Tableau de bord'!U87</f>
        <v>0.04</v>
      </c>
      <c r="V6" s="320">
        <f>'Tableau de bord'!V87</f>
        <v>0.04</v>
      </c>
      <c r="W6" s="320">
        <f>'Tableau de bord'!W87</f>
        <v>0.04</v>
      </c>
      <c r="X6" s="320">
        <f>'Tableau de bord'!X87</f>
        <v>0.04</v>
      </c>
      <c r="Y6" s="320">
        <f>'Tableau de bord'!Y87</f>
        <v>0.04</v>
      </c>
      <c r="Z6" s="320">
        <f>'Tableau de bord'!Z87</f>
        <v>0.04</v>
      </c>
      <c r="AA6" s="320">
        <f>'Tableau de bord'!AA87</f>
        <v>0.04</v>
      </c>
      <c r="AB6" s="320">
        <f>'Tableau de bord'!AB87</f>
        <v>0.04</v>
      </c>
      <c r="AC6" s="320">
        <f>'Tableau de bord'!AC87</f>
        <v>0.04</v>
      </c>
      <c r="AD6" s="320">
        <f>'Tableau de bord'!AD87</f>
        <v>0.04</v>
      </c>
      <c r="AE6" s="320">
        <f>'Tableau de bord'!AE87</f>
        <v>0.04</v>
      </c>
      <c r="AF6" s="320">
        <f>'Tableau de bord'!AF87</f>
        <v>0.04</v>
      </c>
      <c r="AG6" s="320">
        <f>'Tableau de bord'!AG87</f>
        <v>0.04</v>
      </c>
      <c r="AH6" s="320">
        <f>'Tableau de bord'!AH87</f>
        <v>0.04</v>
      </c>
      <c r="AI6" s="320">
        <f>'Tableau de bord'!AI87</f>
        <v>0.04</v>
      </c>
      <c r="AJ6" s="320">
        <f>'Tableau de bord'!AJ87</f>
        <v>0.04</v>
      </c>
      <c r="AK6" s="320">
        <f>'Tableau de bord'!AK87</f>
        <v>0.04</v>
      </c>
      <c r="AL6" s="320">
        <f>'Tableau de bord'!AL87</f>
        <v>0.04</v>
      </c>
      <c r="AM6" s="320">
        <f>'Tableau de bord'!AM87</f>
        <v>0.04</v>
      </c>
      <c r="AN6" s="320">
        <f>'Tableau de bord'!AN87</f>
        <v>0.04</v>
      </c>
      <c r="AO6" s="320">
        <f>'Tableau de bord'!AO87</f>
        <v>0.04</v>
      </c>
      <c r="AP6" s="320">
        <f>'Tableau de bord'!AP87</f>
        <v>0.04</v>
      </c>
      <c r="AQ6" s="320">
        <f>'Tableau de bord'!AQ87</f>
        <v>0.04</v>
      </c>
      <c r="AR6" s="320">
        <f>'Tableau de bord'!AR87</f>
        <v>0.04</v>
      </c>
      <c r="AS6" s="320">
        <f>'Tableau de bord'!AS87</f>
        <v>0.04</v>
      </c>
      <c r="AT6" s="320">
        <f>'Tableau de bord'!AT87</f>
        <v>0.04</v>
      </c>
      <c r="AU6" s="320">
        <f>'Tableau de bord'!AU87</f>
        <v>0.04</v>
      </c>
      <c r="AV6" s="320">
        <f>'Tableau de bord'!AV87</f>
        <v>0.04</v>
      </c>
      <c r="AW6" s="320">
        <f>'Tableau de bord'!AW87</f>
        <v>0.04</v>
      </c>
      <c r="AX6" s="320">
        <f>'Tableau de bord'!AX87</f>
        <v>0.04</v>
      </c>
      <c r="AY6" s="320">
        <f>'Tableau de bord'!AY87</f>
        <v>0.04</v>
      </c>
      <c r="AZ6" s="321">
        <f>'Tableau de bord'!AZ87</f>
        <v>0.04</v>
      </c>
    </row>
    <row r="7" spans="1:52" s="317" customFormat="1">
      <c r="A7" s="61" t="s">
        <v>2</v>
      </c>
      <c r="B7" s="322" t="str">
        <f>'Tableau de bord'!B91</f>
        <v>PLF 2014</v>
      </c>
      <c r="C7" s="319">
        <f>'Tableau de bord'!C91</f>
        <v>1.2999999999999999E-2</v>
      </c>
      <c r="D7" s="320">
        <f>'Tableau de bord'!D91</f>
        <v>1.2999999999999999E-2</v>
      </c>
      <c r="E7" s="320">
        <f>'Tableau de bord'!E91</f>
        <v>1.2999999999999999E-2</v>
      </c>
      <c r="F7" s="320">
        <f>'Tableau de bord'!F91</f>
        <v>1.2999999999999999E-2</v>
      </c>
      <c r="G7" s="320">
        <f>'Tableau de bord'!G91</f>
        <v>1.2999999999999999E-2</v>
      </c>
      <c r="H7" s="320">
        <f>'Tableau de bord'!H91</f>
        <v>1.2999999999999999E-2</v>
      </c>
      <c r="I7" s="320">
        <f>'Tableau de bord'!I91</f>
        <v>1.2999999999999999E-2</v>
      </c>
      <c r="J7" s="320">
        <f>'Tableau de bord'!J91</f>
        <v>1.2999999999999999E-2</v>
      </c>
      <c r="K7" s="320">
        <f>'Tableau de bord'!K91</f>
        <v>1.2999999999999999E-2</v>
      </c>
      <c r="L7" s="320">
        <f>'Tableau de bord'!L91</f>
        <v>1.2999999999999999E-2</v>
      </c>
      <c r="M7" s="320">
        <f>'Tableau de bord'!M91</f>
        <v>1.2999999999999999E-2</v>
      </c>
      <c r="N7" s="320">
        <f>'Tableau de bord'!N91</f>
        <v>1.2999999999999999E-2</v>
      </c>
      <c r="O7" s="320">
        <f>'Tableau de bord'!O91</f>
        <v>1.2999999999999999E-2</v>
      </c>
      <c r="P7" s="320">
        <f>'Tableau de bord'!P91</f>
        <v>1.2999999999999999E-2</v>
      </c>
      <c r="Q7" s="320">
        <f>'Tableau de bord'!Q91</f>
        <v>1.2999999999999999E-2</v>
      </c>
      <c r="R7" s="320">
        <f>'Tableau de bord'!R91</f>
        <v>1.2999999999999999E-2</v>
      </c>
      <c r="S7" s="320">
        <f>'Tableau de bord'!S91</f>
        <v>1.2999999999999999E-2</v>
      </c>
      <c r="T7" s="320">
        <f>'Tableau de bord'!T91</f>
        <v>1.2999999999999999E-2</v>
      </c>
      <c r="U7" s="320">
        <f>'Tableau de bord'!U91</f>
        <v>1.2999999999999999E-2</v>
      </c>
      <c r="V7" s="320">
        <f>'Tableau de bord'!V91</f>
        <v>1.2999999999999999E-2</v>
      </c>
      <c r="W7" s="320">
        <f>'Tableau de bord'!W91</f>
        <v>1.2999999999999999E-2</v>
      </c>
      <c r="X7" s="320">
        <f>'Tableau de bord'!X91</f>
        <v>1.2999999999999999E-2</v>
      </c>
      <c r="Y7" s="320">
        <f>'Tableau de bord'!Y91</f>
        <v>1.2999999999999999E-2</v>
      </c>
      <c r="Z7" s="320">
        <f>'Tableau de bord'!Z91</f>
        <v>1.2999999999999999E-2</v>
      </c>
      <c r="AA7" s="320">
        <f>'Tableau de bord'!AA91</f>
        <v>1.2999999999999999E-2</v>
      </c>
      <c r="AB7" s="320">
        <f>'Tableau de bord'!AB91</f>
        <v>1.2999999999999999E-2</v>
      </c>
      <c r="AC7" s="320">
        <f>'Tableau de bord'!AC91</f>
        <v>1.2999999999999999E-2</v>
      </c>
      <c r="AD7" s="320">
        <f>'Tableau de bord'!AD91</f>
        <v>1.2999999999999999E-2</v>
      </c>
      <c r="AE7" s="320">
        <f>'Tableau de bord'!AE91</f>
        <v>1.2999999999999999E-2</v>
      </c>
      <c r="AF7" s="320">
        <f>'Tableau de bord'!AF91</f>
        <v>1.2999999999999999E-2</v>
      </c>
      <c r="AG7" s="320">
        <f>'Tableau de bord'!AG91</f>
        <v>1.2999999999999999E-2</v>
      </c>
      <c r="AH7" s="320">
        <f>'Tableau de bord'!AH91</f>
        <v>1.2999999999999999E-2</v>
      </c>
      <c r="AI7" s="320">
        <f>'Tableau de bord'!AI91</f>
        <v>1.2999999999999999E-2</v>
      </c>
      <c r="AJ7" s="320">
        <f>'Tableau de bord'!AJ91</f>
        <v>1.2999999999999999E-2</v>
      </c>
      <c r="AK7" s="320">
        <f>'Tableau de bord'!AK91</f>
        <v>1.2999999999999999E-2</v>
      </c>
      <c r="AL7" s="320">
        <f>'Tableau de bord'!AL91</f>
        <v>1.2999999999999999E-2</v>
      </c>
      <c r="AM7" s="320">
        <f>'Tableau de bord'!AM91</f>
        <v>1.2999999999999999E-2</v>
      </c>
      <c r="AN7" s="320">
        <f>'Tableau de bord'!AN91</f>
        <v>1.2999999999999999E-2</v>
      </c>
      <c r="AO7" s="320">
        <f>'Tableau de bord'!AO91</f>
        <v>1.2999999999999999E-2</v>
      </c>
      <c r="AP7" s="320">
        <f>'Tableau de bord'!AP91</f>
        <v>1.2999999999999999E-2</v>
      </c>
      <c r="AQ7" s="320">
        <f>'Tableau de bord'!AQ91</f>
        <v>1.2999999999999999E-2</v>
      </c>
      <c r="AR7" s="320">
        <f>'Tableau de bord'!AR91</f>
        <v>1.2999999999999999E-2</v>
      </c>
      <c r="AS7" s="320">
        <f>'Tableau de bord'!AS91</f>
        <v>1.2999999999999999E-2</v>
      </c>
      <c r="AT7" s="320">
        <f>'Tableau de bord'!AT91</f>
        <v>1.2999999999999999E-2</v>
      </c>
      <c r="AU7" s="320">
        <f>'Tableau de bord'!AU91</f>
        <v>1.2999999999999999E-2</v>
      </c>
      <c r="AV7" s="320">
        <f>'Tableau de bord'!AV91</f>
        <v>1.2999999999999999E-2</v>
      </c>
      <c r="AW7" s="320">
        <f>'Tableau de bord'!AW91</f>
        <v>1.2999999999999999E-2</v>
      </c>
      <c r="AX7" s="320">
        <f>'Tableau de bord'!AX91</f>
        <v>1.2999999999999999E-2</v>
      </c>
      <c r="AY7" s="320">
        <f>'Tableau de bord'!AY91</f>
        <v>1.2999999999999999E-2</v>
      </c>
      <c r="AZ7" s="321">
        <f>'Tableau de bord'!AZ91</f>
        <v>1.2999999999999999E-2</v>
      </c>
    </row>
    <row r="8" spans="1:52" s="317" customFormat="1">
      <c r="A8" s="323" t="s">
        <v>1</v>
      </c>
      <c r="B8" s="314"/>
      <c r="C8" s="319">
        <f>C5+C6</f>
        <v>0.13500000000000001</v>
      </c>
      <c r="D8" s="320">
        <f t="shared" ref="D8:AZ8" si="0">D5+D6</f>
        <v>0.13500000000000001</v>
      </c>
      <c r="E8" s="320">
        <f t="shared" si="0"/>
        <v>0.13500000000000001</v>
      </c>
      <c r="F8" s="320">
        <f t="shared" si="0"/>
        <v>0.13500000000000001</v>
      </c>
      <c r="G8" s="320">
        <f t="shared" si="0"/>
        <v>0.13500000000000001</v>
      </c>
      <c r="H8" s="320">
        <f t="shared" si="0"/>
        <v>0.13500000000000001</v>
      </c>
      <c r="I8" s="320">
        <f t="shared" si="0"/>
        <v>0.13500000000000001</v>
      </c>
      <c r="J8" s="320">
        <f t="shared" si="0"/>
        <v>0.13500000000000001</v>
      </c>
      <c r="K8" s="320">
        <f t="shared" si="0"/>
        <v>0.13500000000000001</v>
      </c>
      <c r="L8" s="320">
        <f t="shared" si="0"/>
        <v>0.13500000000000001</v>
      </c>
      <c r="M8" s="320">
        <f t="shared" si="0"/>
        <v>0.13500000000000001</v>
      </c>
      <c r="N8" s="320">
        <f t="shared" si="0"/>
        <v>0.13500000000000001</v>
      </c>
      <c r="O8" s="320">
        <f t="shared" si="0"/>
        <v>0.13500000000000001</v>
      </c>
      <c r="P8" s="320">
        <f t="shared" si="0"/>
        <v>0.13500000000000001</v>
      </c>
      <c r="Q8" s="320">
        <f t="shared" si="0"/>
        <v>0.13500000000000001</v>
      </c>
      <c r="R8" s="320">
        <f t="shared" si="0"/>
        <v>0.13500000000000001</v>
      </c>
      <c r="S8" s="320">
        <f t="shared" si="0"/>
        <v>0.13500000000000001</v>
      </c>
      <c r="T8" s="320">
        <f t="shared" si="0"/>
        <v>0.13500000000000001</v>
      </c>
      <c r="U8" s="320">
        <f t="shared" si="0"/>
        <v>0.13500000000000001</v>
      </c>
      <c r="V8" s="320">
        <f t="shared" si="0"/>
        <v>0.13500000000000001</v>
      </c>
      <c r="W8" s="320">
        <f t="shared" si="0"/>
        <v>0.13500000000000001</v>
      </c>
      <c r="X8" s="320">
        <f t="shared" si="0"/>
        <v>0.13500000000000001</v>
      </c>
      <c r="Y8" s="320">
        <f t="shared" si="0"/>
        <v>0.13500000000000001</v>
      </c>
      <c r="Z8" s="320">
        <f t="shared" si="0"/>
        <v>0.13500000000000001</v>
      </c>
      <c r="AA8" s="320">
        <f t="shared" si="0"/>
        <v>0.13500000000000001</v>
      </c>
      <c r="AB8" s="320">
        <f t="shared" si="0"/>
        <v>0.13500000000000001</v>
      </c>
      <c r="AC8" s="320">
        <f t="shared" si="0"/>
        <v>0.13500000000000001</v>
      </c>
      <c r="AD8" s="320">
        <f t="shared" si="0"/>
        <v>0.13500000000000001</v>
      </c>
      <c r="AE8" s="320">
        <f t="shared" si="0"/>
        <v>0.13500000000000001</v>
      </c>
      <c r="AF8" s="320">
        <f t="shared" si="0"/>
        <v>0.13500000000000001</v>
      </c>
      <c r="AG8" s="320">
        <f t="shared" si="0"/>
        <v>0.13500000000000001</v>
      </c>
      <c r="AH8" s="320">
        <f t="shared" si="0"/>
        <v>0.13500000000000001</v>
      </c>
      <c r="AI8" s="320">
        <f t="shared" si="0"/>
        <v>0.13500000000000001</v>
      </c>
      <c r="AJ8" s="320">
        <f t="shared" si="0"/>
        <v>0.13500000000000001</v>
      </c>
      <c r="AK8" s="320">
        <f t="shared" si="0"/>
        <v>0.13500000000000001</v>
      </c>
      <c r="AL8" s="320">
        <f t="shared" si="0"/>
        <v>0.13500000000000001</v>
      </c>
      <c r="AM8" s="320">
        <f t="shared" si="0"/>
        <v>0.13500000000000001</v>
      </c>
      <c r="AN8" s="320">
        <f t="shared" si="0"/>
        <v>0.13500000000000001</v>
      </c>
      <c r="AO8" s="320">
        <f t="shared" si="0"/>
        <v>0.13500000000000001</v>
      </c>
      <c r="AP8" s="320">
        <f t="shared" si="0"/>
        <v>0.13500000000000001</v>
      </c>
      <c r="AQ8" s="320">
        <f t="shared" si="0"/>
        <v>0.13500000000000001</v>
      </c>
      <c r="AR8" s="320">
        <f t="shared" si="0"/>
        <v>0.13500000000000001</v>
      </c>
      <c r="AS8" s="320">
        <f t="shared" si="0"/>
        <v>0.13500000000000001</v>
      </c>
      <c r="AT8" s="320">
        <f t="shared" si="0"/>
        <v>0.13500000000000001</v>
      </c>
      <c r="AU8" s="320">
        <f t="shared" si="0"/>
        <v>0.13500000000000001</v>
      </c>
      <c r="AV8" s="320">
        <f t="shared" si="0"/>
        <v>0.13500000000000001</v>
      </c>
      <c r="AW8" s="320">
        <f t="shared" si="0"/>
        <v>0.13500000000000001</v>
      </c>
      <c r="AX8" s="320">
        <f t="shared" si="0"/>
        <v>0.13500000000000001</v>
      </c>
      <c r="AY8" s="320">
        <f t="shared" si="0"/>
        <v>0.13500000000000001</v>
      </c>
      <c r="AZ8" s="321">
        <f t="shared" si="0"/>
        <v>0.13500000000000001</v>
      </c>
    </row>
    <row r="9" spans="1:52" s="317" customFormat="1">
      <c r="A9" s="323" t="s">
        <v>3</v>
      </c>
      <c r="B9" s="314"/>
      <c r="C9" s="319">
        <f>(1+C8)/(1+C7)-1</f>
        <v>0.12043435340572572</v>
      </c>
      <c r="D9" s="320">
        <f t="shared" ref="D9:AZ9" si="1">(1+D8)/(1+D7)-1</f>
        <v>0.12043435340572572</v>
      </c>
      <c r="E9" s="320">
        <f t="shared" si="1"/>
        <v>0.12043435340572572</v>
      </c>
      <c r="F9" s="320">
        <f t="shared" si="1"/>
        <v>0.12043435340572572</v>
      </c>
      <c r="G9" s="320">
        <f t="shared" si="1"/>
        <v>0.12043435340572572</v>
      </c>
      <c r="H9" s="320">
        <f t="shared" si="1"/>
        <v>0.12043435340572572</v>
      </c>
      <c r="I9" s="320">
        <f t="shared" si="1"/>
        <v>0.12043435340572572</v>
      </c>
      <c r="J9" s="320">
        <f t="shared" si="1"/>
        <v>0.12043435340572572</v>
      </c>
      <c r="K9" s="320">
        <f t="shared" si="1"/>
        <v>0.12043435340572572</v>
      </c>
      <c r="L9" s="320">
        <f t="shared" si="1"/>
        <v>0.12043435340572572</v>
      </c>
      <c r="M9" s="320">
        <f t="shared" si="1"/>
        <v>0.12043435340572572</v>
      </c>
      <c r="N9" s="320">
        <f t="shared" si="1"/>
        <v>0.12043435340572572</v>
      </c>
      <c r="O9" s="320">
        <f t="shared" si="1"/>
        <v>0.12043435340572572</v>
      </c>
      <c r="P9" s="320">
        <f t="shared" si="1"/>
        <v>0.12043435340572572</v>
      </c>
      <c r="Q9" s="320">
        <f t="shared" si="1"/>
        <v>0.12043435340572572</v>
      </c>
      <c r="R9" s="320">
        <f t="shared" si="1"/>
        <v>0.12043435340572572</v>
      </c>
      <c r="S9" s="320">
        <f t="shared" si="1"/>
        <v>0.12043435340572572</v>
      </c>
      <c r="T9" s="320">
        <f t="shared" si="1"/>
        <v>0.12043435340572572</v>
      </c>
      <c r="U9" s="320">
        <f t="shared" si="1"/>
        <v>0.12043435340572572</v>
      </c>
      <c r="V9" s="320">
        <f t="shared" si="1"/>
        <v>0.12043435340572572</v>
      </c>
      <c r="W9" s="320">
        <f t="shared" si="1"/>
        <v>0.12043435340572572</v>
      </c>
      <c r="X9" s="320">
        <f t="shared" si="1"/>
        <v>0.12043435340572572</v>
      </c>
      <c r="Y9" s="320">
        <f t="shared" si="1"/>
        <v>0.12043435340572572</v>
      </c>
      <c r="Z9" s="320">
        <f t="shared" si="1"/>
        <v>0.12043435340572572</v>
      </c>
      <c r="AA9" s="320">
        <f t="shared" si="1"/>
        <v>0.12043435340572572</v>
      </c>
      <c r="AB9" s="320">
        <f t="shared" si="1"/>
        <v>0.12043435340572572</v>
      </c>
      <c r="AC9" s="320">
        <f t="shared" si="1"/>
        <v>0.12043435340572572</v>
      </c>
      <c r="AD9" s="320">
        <f t="shared" si="1"/>
        <v>0.12043435340572572</v>
      </c>
      <c r="AE9" s="320">
        <f t="shared" si="1"/>
        <v>0.12043435340572572</v>
      </c>
      <c r="AF9" s="320">
        <f t="shared" si="1"/>
        <v>0.12043435340572572</v>
      </c>
      <c r="AG9" s="320">
        <f t="shared" si="1"/>
        <v>0.12043435340572572</v>
      </c>
      <c r="AH9" s="320">
        <f t="shared" si="1"/>
        <v>0.12043435340572572</v>
      </c>
      <c r="AI9" s="320">
        <f t="shared" si="1"/>
        <v>0.12043435340572572</v>
      </c>
      <c r="AJ9" s="320">
        <f t="shared" si="1"/>
        <v>0.12043435340572572</v>
      </c>
      <c r="AK9" s="320">
        <f t="shared" si="1"/>
        <v>0.12043435340572572</v>
      </c>
      <c r="AL9" s="320">
        <f t="shared" si="1"/>
        <v>0.12043435340572572</v>
      </c>
      <c r="AM9" s="320">
        <f t="shared" si="1"/>
        <v>0.12043435340572572</v>
      </c>
      <c r="AN9" s="320">
        <f t="shared" si="1"/>
        <v>0.12043435340572572</v>
      </c>
      <c r="AO9" s="320">
        <f t="shared" si="1"/>
        <v>0.12043435340572572</v>
      </c>
      <c r="AP9" s="320">
        <f t="shared" si="1"/>
        <v>0.12043435340572572</v>
      </c>
      <c r="AQ9" s="320">
        <f t="shared" si="1"/>
        <v>0.12043435340572572</v>
      </c>
      <c r="AR9" s="320">
        <f t="shared" si="1"/>
        <v>0.12043435340572572</v>
      </c>
      <c r="AS9" s="320">
        <f t="shared" si="1"/>
        <v>0.12043435340572572</v>
      </c>
      <c r="AT9" s="320">
        <f t="shared" si="1"/>
        <v>0.12043435340572572</v>
      </c>
      <c r="AU9" s="320">
        <f t="shared" si="1"/>
        <v>0.12043435340572572</v>
      </c>
      <c r="AV9" s="320">
        <f t="shared" si="1"/>
        <v>0.12043435340572572</v>
      </c>
      <c r="AW9" s="320">
        <f t="shared" si="1"/>
        <v>0.12043435340572572</v>
      </c>
      <c r="AX9" s="320">
        <f t="shared" si="1"/>
        <v>0.12043435340572572</v>
      </c>
      <c r="AY9" s="320">
        <f t="shared" si="1"/>
        <v>0.12043435340572572</v>
      </c>
      <c r="AZ9" s="321">
        <f t="shared" si="1"/>
        <v>0.12043435340572572</v>
      </c>
    </row>
    <row r="10" spans="1:52" s="22" customFormat="1">
      <c r="A10" s="324" t="s">
        <v>13</v>
      </c>
      <c r="B10" s="325"/>
      <c r="C10" s="326">
        <f>1</f>
        <v>1</v>
      </c>
      <c r="D10" s="80">
        <f>C10*1/(1+D9)</f>
        <v>0.89251101321585891</v>
      </c>
      <c r="E10" s="80">
        <f t="shared" ref="E10:AZ10" si="2">D10*1/(1+E9)</f>
        <v>0.79657590871159911</v>
      </c>
      <c r="F10" s="80">
        <f t="shared" si="2"/>
        <v>0.71095277138753288</v>
      </c>
      <c r="G10" s="80">
        <f t="shared" si="2"/>
        <v>0.6345331783397099</v>
      </c>
      <c r="H10" s="80">
        <f t="shared" si="2"/>
        <v>0.56632784991905383</v>
      </c>
      <c r="I10" s="80">
        <f t="shared" si="2"/>
        <v>0.50545384314361363</v>
      </c>
      <c r="J10" s="80">
        <f t="shared" si="2"/>
        <v>0.45112312167795643</v>
      </c>
      <c r="K10" s="80">
        <f t="shared" si="2"/>
        <v>0.40263235441389411</v>
      </c>
      <c r="L10" s="80">
        <f t="shared" si="2"/>
        <v>0.35935381059143146</v>
      </c>
      <c r="M10" s="80">
        <f t="shared" si="2"/>
        <v>0.32072723359393834</v>
      </c>
      <c r="N10" s="80">
        <f t="shared" si="2"/>
        <v>0.28625258822084537</v>
      </c>
      <c r="O10" s="80">
        <f t="shared" si="2"/>
        <v>0.25548358754864875</v>
      </c>
      <c r="P10" s="80">
        <f t="shared" si="2"/>
        <v>0.22802191558306709</v>
      </c>
      <c r="Q10" s="80">
        <f t="shared" si="2"/>
        <v>0.20351207091246426</v>
      </c>
      <c r="R10" s="80">
        <f t="shared" si="2"/>
        <v>0.18163676461174119</v>
      </c>
      <c r="S10" s="80">
        <f t="shared" si="2"/>
        <v>0.16211281282087558</v>
      </c>
      <c r="T10" s="80">
        <f t="shared" si="2"/>
        <v>0.14468747082603256</v>
      </c>
      <c r="U10" s="80">
        <f t="shared" si="2"/>
        <v>0.12913516118658236</v>
      </c>
      <c r="V10" s="80">
        <f t="shared" si="2"/>
        <v>0.11525455355242988</v>
      </c>
      <c r="W10" s="80">
        <f t="shared" si="2"/>
        <v>0.10286595836882066</v>
      </c>
      <c r="X10" s="80">
        <f t="shared" si="2"/>
        <v>9.1809000729176485E-2</v>
      </c>
      <c r="Y10" s="80">
        <f t="shared" si="2"/>
        <v>8.1940544263132839E-2</v>
      </c>
      <c r="Z10" s="80">
        <f t="shared" si="2"/>
        <v>7.313283818374762E-2</v>
      </c>
      <c r="AA10" s="80">
        <f t="shared" si="2"/>
        <v>6.5271863506728048E-2</v>
      </c>
      <c r="AB10" s="80">
        <f t="shared" si="2"/>
        <v>5.8255857032877098E-2</v>
      </c>
      <c r="AC10" s="80">
        <f t="shared" si="2"/>
        <v>5.1993993986171362E-2</v>
      </c>
      <c r="AD10" s="80">
        <f t="shared" si="2"/>
        <v>4.6405212253737074E-2</v>
      </c>
      <c r="AE10" s="80">
        <f t="shared" si="2"/>
        <v>4.1417163007079864E-2</v>
      </c>
      <c r="AF10" s="80">
        <f t="shared" si="2"/>
        <v>3.6965274119975237E-2</v>
      </c>
      <c r="AG10" s="80">
        <f t="shared" si="2"/>
        <v>3.2991914258621066E-2</v>
      </c>
      <c r="AH10" s="80">
        <f t="shared" si="2"/>
        <v>2.9445646822892631E-2</v>
      </c>
      <c r="AI10" s="80">
        <f t="shared" si="2"/>
        <v>2.6280564080696241E-2</v>
      </c>
      <c r="AJ10" s="80">
        <f t="shared" si="2"/>
        <v>2.3455692875546511E-2</v>
      </c>
      <c r="AK10" s="80">
        <f t="shared" si="2"/>
        <v>2.093446421403402E-2</v>
      </c>
      <c r="AL10" s="80">
        <f t="shared" si="2"/>
        <v>1.8684239866798642E-2</v>
      </c>
      <c r="AM10" s="80">
        <f t="shared" si="2"/>
        <v>1.66758898546846E-2</v>
      </c>
      <c r="AN10" s="80">
        <f t="shared" si="2"/>
        <v>1.4883415350480614E-2</v>
      </c>
      <c r="AO10" s="80">
        <f t="shared" si="2"/>
        <v>1.328361211456992E-2</v>
      </c>
      <c r="AP10" s="80">
        <f t="shared" si="2"/>
        <v>1.1855770107541257E-2</v>
      </c>
      <c r="AQ10" s="80">
        <f t="shared" si="2"/>
        <v>1.058140539113594E-2</v>
      </c>
      <c r="AR10" s="80">
        <f t="shared" si="2"/>
        <v>9.4440208468904892E-3</v>
      </c>
      <c r="AS10" s="80">
        <f t="shared" si="2"/>
        <v>8.428892614889924E-3</v>
      </c>
      <c r="AT10" s="80">
        <f t="shared" si="2"/>
        <v>7.5228794880030769E-3</v>
      </c>
      <c r="AU10" s="80">
        <f t="shared" si="2"/>
        <v>6.7142527941384282E-3</v>
      </c>
      <c r="AV10" s="80">
        <f t="shared" si="2"/>
        <v>5.9925445642839007E-3</v>
      </c>
      <c r="AW10" s="80">
        <f t="shared" si="2"/>
        <v>5.3484120208102115E-3</v>
      </c>
      <c r="AX10" s="80">
        <f t="shared" si="2"/>
        <v>4.773516631789201E-3</v>
      </c>
      <c r="AY10" s="80">
        <f t="shared" si="2"/>
        <v>4.2604161656409336E-3</v>
      </c>
      <c r="AZ10" s="81">
        <f t="shared" si="2"/>
        <v>3.8024683487174141E-3</v>
      </c>
    </row>
    <row r="11" spans="1:52">
      <c r="A11" s="313" t="s">
        <v>4</v>
      </c>
      <c r="B11" s="327" t="str">
        <f>'Tableau de bord'!B42</f>
        <v>Modélisé</v>
      </c>
      <c r="C11" s="79">
        <f ca="1">'Tableau de bord'!C42</f>
        <v>1</v>
      </c>
      <c r="D11" s="80">
        <f ca="1">'Tableau de bord'!D42</f>
        <v>1.1210580162503534</v>
      </c>
      <c r="E11" s="80">
        <f ca="1">'Tableau de bord'!E42</f>
        <v>1.2471638346360345</v>
      </c>
      <c r="F11" s="80">
        <f ca="1">'Tableau de bord'!F42</f>
        <v>1.3740457802738204</v>
      </c>
      <c r="G11" s="80">
        <f ca="1">'Tableau de bord'!G42</f>
        <v>1.4333087542720564</v>
      </c>
      <c r="H11" s="80">
        <f ca="1">'Tableau de bord'!H42</f>
        <v>1.4764717733760253</v>
      </c>
      <c r="I11" s="80">
        <f ca="1">'Tableau de bord'!I42</f>
        <v>1.5020597478330207</v>
      </c>
      <c r="J11" s="80">
        <f ca="1">'Tableau de bord'!J42</f>
        <v>1.5112620537116042</v>
      </c>
      <c r="K11" s="80">
        <f ca="1">'Tableau de bord'!K42</f>
        <v>1.5073693829384929</v>
      </c>
      <c r="L11" s="80">
        <f ca="1">'Tableau de bord'!L42</f>
        <v>1.490804748313969</v>
      </c>
      <c r="M11" s="80">
        <f ca="1">'Tableau de bord'!M42</f>
        <v>1.4632513551263955</v>
      </c>
      <c r="N11" s="80">
        <f ca="1">'Tableau de bord'!N42</f>
        <v>1.4255914405609986</v>
      </c>
      <c r="O11" s="80">
        <f ca="1">'Tableau de bord'!O42</f>
        <v>1.3794232998693141</v>
      </c>
      <c r="P11" s="80">
        <f ca="1">'Tableau de bord'!P42</f>
        <v>1.3267015448220636</v>
      </c>
      <c r="Q11" s="80">
        <f ca="1">'Tableau de bord'!Q42</f>
        <v>1.2660314301666338</v>
      </c>
      <c r="R11" s="80">
        <f ca="1">'Tableau de bord'!R42</f>
        <v>1.1977761634664439</v>
      </c>
      <c r="S11" s="80">
        <f ca="1">'Tableau de bord'!S42</f>
        <v>1.1218677624652438</v>
      </c>
      <c r="T11" s="80">
        <f ca="1">'Tableau de bord'!T42</f>
        <v>1.0369922218188041</v>
      </c>
      <c r="U11" s="80">
        <f ca="1">'Tableau de bord'!U42</f>
        <v>0.94398683026173091</v>
      </c>
      <c r="V11" s="80">
        <f ca="1">'Tableau de bord'!V42</f>
        <v>0.84089415408869839</v>
      </c>
      <c r="W11" s="80">
        <f ca="1">'Tableau de bord'!W42</f>
        <v>0.72855235000367535</v>
      </c>
      <c r="X11" s="80">
        <f ca="1">'Tableau de bord'!X42</f>
        <v>0.60542103031784844</v>
      </c>
      <c r="Y11" s="80">
        <f ca="1">'Tableau de bord'!Y42</f>
        <v>0.47125352269529941</v>
      </c>
      <c r="Z11" s="80">
        <f ca="1">'Tableau de bord'!Z42</f>
        <v>0.4</v>
      </c>
      <c r="AA11" s="80">
        <f ca="1">'Tableau de bord'!AA42</f>
        <v>0.4</v>
      </c>
      <c r="AB11" s="80">
        <f ca="1">'Tableau de bord'!AB42</f>
        <v>0.4</v>
      </c>
      <c r="AC11" s="80">
        <f ca="1">'Tableau de bord'!AC42</f>
        <v>0.4</v>
      </c>
      <c r="AD11" s="80">
        <f ca="1">'Tableau de bord'!AD42</f>
        <v>0.4</v>
      </c>
      <c r="AE11" s="80">
        <f ca="1">'Tableau de bord'!AE42</f>
        <v>0.4</v>
      </c>
      <c r="AF11" s="80">
        <f ca="1">'Tableau de bord'!AF42</f>
        <v>0.4</v>
      </c>
      <c r="AG11" s="80">
        <f ca="1">'Tableau de bord'!AG42</f>
        <v>0.4</v>
      </c>
      <c r="AH11" s="80">
        <f ca="1">'Tableau de bord'!AH42</f>
        <v>0.4</v>
      </c>
      <c r="AI11" s="80">
        <f ca="1">'Tableau de bord'!AI42</f>
        <v>0.4</v>
      </c>
      <c r="AJ11" s="80">
        <f ca="1">'Tableau de bord'!AJ42</f>
        <v>0.4</v>
      </c>
      <c r="AK11" s="80">
        <f ca="1">'Tableau de bord'!AK42</f>
        <v>0.4</v>
      </c>
      <c r="AL11" s="80">
        <f ca="1">'Tableau de bord'!AL42</f>
        <v>0.4</v>
      </c>
      <c r="AM11" s="80">
        <f ca="1">'Tableau de bord'!AM42</f>
        <v>0.4</v>
      </c>
      <c r="AN11" s="80">
        <f ca="1">'Tableau de bord'!AN42</f>
        <v>0.4</v>
      </c>
      <c r="AO11" s="80">
        <f ca="1">'Tableau de bord'!AO42</f>
        <v>0.4</v>
      </c>
      <c r="AP11" s="80">
        <f ca="1">'Tableau de bord'!AP42</f>
        <v>0.4</v>
      </c>
      <c r="AQ11" s="80">
        <f ca="1">'Tableau de bord'!AQ42</f>
        <v>0.4</v>
      </c>
      <c r="AR11" s="80">
        <f ca="1">'Tableau de bord'!AR42</f>
        <v>0.4</v>
      </c>
      <c r="AS11" s="80">
        <f ca="1">'Tableau de bord'!AS42</f>
        <v>0.4</v>
      </c>
      <c r="AT11" s="80">
        <f ca="1">'Tableau de bord'!AT42</f>
        <v>0.4</v>
      </c>
      <c r="AU11" s="80">
        <f ca="1">'Tableau de bord'!AU42</f>
        <v>0.4</v>
      </c>
      <c r="AV11" s="80">
        <f ca="1">'Tableau de bord'!AV42</f>
        <v>0.4</v>
      </c>
      <c r="AW11" s="80">
        <f ca="1">'Tableau de bord'!AW42</f>
        <v>0.4</v>
      </c>
      <c r="AX11" s="80">
        <f ca="1">'Tableau de bord'!AX42</f>
        <v>0.4</v>
      </c>
      <c r="AY11" s="80">
        <f ca="1">'Tableau de bord'!AY42</f>
        <v>0.4</v>
      </c>
      <c r="AZ11" s="81">
        <f ca="1">'Tableau de bord'!AZ42</f>
        <v>0.4</v>
      </c>
    </row>
    <row r="12" spans="1:52">
      <c r="A12" s="313"/>
      <c r="B12" s="328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X12" s="67"/>
      <c r="Y12" s="67"/>
      <c r="Z12" s="67"/>
      <c r="AA12" s="67"/>
      <c r="AB12" s="67"/>
      <c r="AC12" s="67"/>
      <c r="AD12" s="67"/>
      <c r="AE12" s="67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</row>
    <row r="13" spans="1:52">
      <c r="A13" s="313" t="s">
        <v>6</v>
      </c>
      <c r="B13" s="327" t="str">
        <f>'Tableau de bord'!B18</f>
        <v>Exemple 1</v>
      </c>
      <c r="C13" s="307">
        <f>'Tableau de bord'!C18</f>
        <v>8000</v>
      </c>
      <c r="D13" s="308">
        <f>'Tableau de bord'!D18</f>
        <v>13000</v>
      </c>
      <c r="E13" s="308">
        <f>'Tableau de bord'!E18</f>
        <v>15000</v>
      </c>
      <c r="F13" s="308">
        <f>'Tableau de bord'!F18</f>
        <v>16000</v>
      </c>
      <c r="G13" s="308">
        <f>'Tableau de bord'!G18</f>
        <v>15000</v>
      </c>
      <c r="H13" s="308">
        <f>'Tableau de bord'!H18</f>
        <v>13000</v>
      </c>
      <c r="I13" s="308">
        <f>'Tableau de bord'!I18</f>
        <v>9000</v>
      </c>
      <c r="J13" s="308">
        <f>'Tableau de bord'!J18</f>
        <v>8000</v>
      </c>
      <c r="K13" s="308">
        <f>'Tableau de bord'!K18</f>
        <v>3000</v>
      </c>
      <c r="L13" s="308">
        <f>'Tableau de bord'!L18</f>
        <v>0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9"/>
    </row>
    <row r="14" spans="1:52">
      <c r="A14" s="313" t="s">
        <v>5</v>
      </c>
      <c r="B14" s="327" t="str">
        <f>'Tableau de bord'!B28</f>
        <v>Modélisées</v>
      </c>
      <c r="C14" s="307">
        <f>'Tableau de bord'!C28</f>
        <v>3200</v>
      </c>
      <c r="D14" s="308">
        <f>'Tableau de bord'!D28</f>
        <v>7600</v>
      </c>
      <c r="E14" s="308">
        <f>'Tableau de bord'!E28</f>
        <v>11100</v>
      </c>
      <c r="F14" s="308">
        <f>'Tableau de bord'!F28</f>
        <v>13650</v>
      </c>
      <c r="G14" s="308">
        <f>'Tableau de bord'!G28</f>
        <v>14750</v>
      </c>
      <c r="H14" s="308">
        <f>'Tableau de bord'!H28</f>
        <v>14250</v>
      </c>
      <c r="I14" s="308">
        <f>'Tableau de bord'!I28</f>
        <v>12100</v>
      </c>
      <c r="J14" s="308">
        <f>'Tableau de bord'!J28</f>
        <v>10150</v>
      </c>
      <c r="K14" s="308">
        <f>'Tableau de bord'!K28</f>
        <v>7000</v>
      </c>
      <c r="L14" s="308">
        <f>'Tableau de bord'!L28</f>
        <v>3650</v>
      </c>
      <c r="M14" s="308">
        <f>'Tableau de bord'!M28</f>
        <v>1700</v>
      </c>
      <c r="N14" s="308">
        <f>'Tableau de bord'!N28</f>
        <v>700</v>
      </c>
      <c r="O14" s="308">
        <f>'Tableau de bord'!O28</f>
        <v>150</v>
      </c>
      <c r="P14" s="308">
        <f>'Tableau de bord'!P28</f>
        <v>0</v>
      </c>
      <c r="Q14" s="308">
        <f>'Tableau de bord'!Q28</f>
        <v>0</v>
      </c>
      <c r="R14" s="308">
        <f>'Tableau de bord'!R28</f>
        <v>0</v>
      </c>
      <c r="S14" s="308">
        <f>'Tableau de bord'!S28</f>
        <v>0</v>
      </c>
      <c r="T14" s="308">
        <f>'Tableau de bord'!T28</f>
        <v>0</v>
      </c>
      <c r="U14" s="308">
        <f>'Tableau de bord'!U28</f>
        <v>0</v>
      </c>
      <c r="V14" s="308">
        <f>'Tableau de bord'!V28</f>
        <v>0</v>
      </c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9"/>
    </row>
    <row r="15" spans="1:52">
      <c r="A15" s="329" t="s">
        <v>18</v>
      </c>
      <c r="B15" s="311" t="str">
        <f>'Tableau de bord'!B148</f>
        <v>Exemple 2</v>
      </c>
      <c r="C15" s="228">
        <f>'Tableau de bord'!C148</f>
        <v>0.05</v>
      </c>
      <c r="D15" s="229">
        <f>'Tableau de bord'!D148</f>
        <v>0</v>
      </c>
      <c r="E15" s="229">
        <f>'Tableau de bord'!E148</f>
        <v>0</v>
      </c>
      <c r="F15" s="229">
        <f>'Tableau de bord'!F148</f>
        <v>0</v>
      </c>
      <c r="G15" s="229">
        <f>'Tableau de bord'!G148</f>
        <v>0.05</v>
      </c>
      <c r="H15" s="229">
        <f>'Tableau de bord'!H148</f>
        <v>0</v>
      </c>
      <c r="I15" s="229">
        <f>'Tableau de bord'!I148</f>
        <v>0.05</v>
      </c>
      <c r="J15" s="229">
        <f>'Tableau de bord'!J148</f>
        <v>0</v>
      </c>
      <c r="K15" s="229">
        <f>'Tableau de bord'!K148</f>
        <v>0</v>
      </c>
      <c r="L15" s="229">
        <f>'Tableau de bord'!L148</f>
        <v>0.05</v>
      </c>
      <c r="M15" s="229">
        <f>'Tableau de bord'!M148</f>
        <v>0</v>
      </c>
      <c r="N15" s="229">
        <f>'Tableau de bord'!N148</f>
        <v>0</v>
      </c>
      <c r="O15" s="229">
        <f>'Tableau de bord'!O148</f>
        <v>0</v>
      </c>
      <c r="P15" s="229">
        <f>'Tableau de bord'!P148</f>
        <v>0</v>
      </c>
      <c r="Q15" s="229">
        <f>'Tableau de bord'!Q148</f>
        <v>0</v>
      </c>
      <c r="R15" s="229">
        <f>'Tableau de bord'!R148</f>
        <v>0</v>
      </c>
      <c r="S15" s="229">
        <f>'Tableau de bord'!S148</f>
        <v>0</v>
      </c>
      <c r="T15" s="229">
        <f>'Tableau de bord'!T148</f>
        <v>0</v>
      </c>
      <c r="U15" s="229">
        <f>'Tableau de bord'!U148</f>
        <v>0</v>
      </c>
      <c r="V15" s="229">
        <f>'Tableau de bord'!V148</f>
        <v>0</v>
      </c>
      <c r="W15" s="229">
        <f>'Tableau de bord'!W148</f>
        <v>0</v>
      </c>
      <c r="X15" s="229">
        <f>'Tableau de bord'!X148</f>
        <v>0</v>
      </c>
      <c r="Y15" s="229">
        <f>'Tableau de bord'!Y148</f>
        <v>0</v>
      </c>
      <c r="Z15" s="229">
        <f>'Tableau de bord'!Z148</f>
        <v>0</v>
      </c>
      <c r="AA15" s="229">
        <f>'Tableau de bord'!AA148</f>
        <v>0</v>
      </c>
      <c r="AB15" s="229">
        <f>'Tableau de bord'!AB148</f>
        <v>0</v>
      </c>
      <c r="AC15" s="229">
        <f>'Tableau de bord'!AC148</f>
        <v>0</v>
      </c>
      <c r="AD15" s="229">
        <f>'Tableau de bord'!AD148</f>
        <v>0</v>
      </c>
      <c r="AE15" s="229">
        <f>'Tableau de bord'!AE148</f>
        <v>0</v>
      </c>
      <c r="AF15" s="229">
        <f>'Tableau de bord'!AF148</f>
        <v>0</v>
      </c>
      <c r="AG15" s="229">
        <f>'Tableau de bord'!AG148</f>
        <v>0</v>
      </c>
      <c r="AH15" s="229">
        <f>'Tableau de bord'!AH148</f>
        <v>0</v>
      </c>
      <c r="AI15" s="229">
        <f>'Tableau de bord'!AI148</f>
        <v>0</v>
      </c>
      <c r="AJ15" s="229">
        <f>'Tableau de bord'!AJ148</f>
        <v>0</v>
      </c>
      <c r="AK15" s="229">
        <f>'Tableau de bord'!AK148</f>
        <v>0</v>
      </c>
      <c r="AL15" s="229">
        <f>'Tableau de bord'!AL148</f>
        <v>0</v>
      </c>
      <c r="AM15" s="229">
        <f>'Tableau de bord'!AM148</f>
        <v>0</v>
      </c>
      <c r="AN15" s="229">
        <f>'Tableau de bord'!AN148</f>
        <v>0</v>
      </c>
      <c r="AO15" s="229">
        <f>'Tableau de bord'!AO148</f>
        <v>0</v>
      </c>
      <c r="AP15" s="229">
        <f>'Tableau de bord'!AP148</f>
        <v>0</v>
      </c>
      <c r="AQ15" s="229">
        <f>'Tableau de bord'!AQ148</f>
        <v>0</v>
      </c>
      <c r="AR15" s="229">
        <f>'Tableau de bord'!AR148</f>
        <v>0</v>
      </c>
      <c r="AS15" s="229">
        <f>'Tableau de bord'!AS148</f>
        <v>0</v>
      </c>
      <c r="AT15" s="229">
        <f>'Tableau de bord'!AT148</f>
        <v>0</v>
      </c>
      <c r="AU15" s="229">
        <f>'Tableau de bord'!AU148</f>
        <v>0</v>
      </c>
      <c r="AV15" s="229">
        <f>'Tableau de bord'!AV148</f>
        <v>0</v>
      </c>
      <c r="AW15" s="229">
        <f>'Tableau de bord'!AW148</f>
        <v>0</v>
      </c>
      <c r="AX15" s="229">
        <f>'Tableau de bord'!AX148</f>
        <v>0</v>
      </c>
      <c r="AY15" s="229">
        <f>'Tableau de bord'!AY148</f>
        <v>0</v>
      </c>
      <c r="AZ15" s="230">
        <f>'Tableau de bord'!AZ148</f>
        <v>0</v>
      </c>
    </row>
    <row r="16" spans="1:52">
      <c r="A16" s="5" t="s">
        <v>19</v>
      </c>
      <c r="B16" s="34" t="str">
        <f>'Tableau de bord'!B143</f>
        <v>Exemple 2</v>
      </c>
      <c r="C16" s="330">
        <f>'Tableau de bord'!C143</f>
        <v>0.2</v>
      </c>
      <c r="D16" s="331">
        <f>'Tableau de bord'!D143</f>
        <v>0.2</v>
      </c>
      <c r="E16" s="331">
        <f>'Tableau de bord'!E143</f>
        <v>0.2</v>
      </c>
      <c r="F16" s="331">
        <f>'Tableau de bord'!F143</f>
        <v>0.2</v>
      </c>
      <c r="G16" s="331">
        <f>'Tableau de bord'!G143</f>
        <v>0.2</v>
      </c>
      <c r="H16" s="331">
        <f>'Tableau de bord'!H143</f>
        <v>0.2</v>
      </c>
      <c r="I16" s="331">
        <f>'Tableau de bord'!I143</f>
        <v>0.2</v>
      </c>
      <c r="J16" s="331">
        <f>'Tableau de bord'!J143</f>
        <v>0.2</v>
      </c>
      <c r="K16" s="331">
        <f>'Tableau de bord'!K143</f>
        <v>0.2</v>
      </c>
      <c r="L16" s="331">
        <f>'Tableau de bord'!L143</f>
        <v>0.2</v>
      </c>
      <c r="M16" s="331">
        <f>'Tableau de bord'!M143</f>
        <v>0.2</v>
      </c>
      <c r="N16" s="331">
        <f>'Tableau de bord'!N143</f>
        <v>0.2</v>
      </c>
      <c r="O16" s="331">
        <f>'Tableau de bord'!O143</f>
        <v>0.2</v>
      </c>
      <c r="P16" s="331">
        <f>'Tableau de bord'!P143</f>
        <v>0.2</v>
      </c>
      <c r="Q16" s="331">
        <f>'Tableau de bord'!Q143</f>
        <v>0.2</v>
      </c>
      <c r="R16" s="331">
        <f>'Tableau de bord'!R143</f>
        <v>0.2</v>
      </c>
      <c r="S16" s="331">
        <f>'Tableau de bord'!S143</f>
        <v>0.2</v>
      </c>
      <c r="T16" s="331">
        <f>'Tableau de bord'!T143</f>
        <v>0.2</v>
      </c>
      <c r="U16" s="331">
        <f>'Tableau de bord'!U143</f>
        <v>0.2</v>
      </c>
      <c r="V16" s="331">
        <f>'Tableau de bord'!V143</f>
        <v>0.2</v>
      </c>
      <c r="W16" s="331">
        <f>'Tableau de bord'!W143</f>
        <v>0.2</v>
      </c>
      <c r="X16" s="331">
        <f>'Tableau de bord'!X143</f>
        <v>0.2</v>
      </c>
      <c r="Y16" s="331">
        <f>'Tableau de bord'!Y143</f>
        <v>0.2</v>
      </c>
      <c r="Z16" s="331">
        <f>'Tableau de bord'!Z143</f>
        <v>0.2</v>
      </c>
      <c r="AA16" s="331">
        <f>'Tableau de bord'!AA143</f>
        <v>0.2</v>
      </c>
      <c r="AB16" s="331">
        <f>'Tableau de bord'!AB143</f>
        <v>0.2</v>
      </c>
      <c r="AC16" s="331">
        <f>'Tableau de bord'!AC143</f>
        <v>0.2</v>
      </c>
      <c r="AD16" s="331">
        <f>'Tableau de bord'!AD143</f>
        <v>0.2</v>
      </c>
      <c r="AE16" s="331">
        <f>'Tableau de bord'!AE143</f>
        <v>0.2</v>
      </c>
      <c r="AF16" s="331">
        <f>'Tableau de bord'!AF143</f>
        <v>0.2</v>
      </c>
      <c r="AG16" s="331">
        <f>'Tableau de bord'!AG143</f>
        <v>0.2</v>
      </c>
      <c r="AH16" s="331">
        <f>'Tableau de bord'!AH143</f>
        <v>0.2</v>
      </c>
      <c r="AI16" s="331">
        <f>'Tableau de bord'!AI143</f>
        <v>0.2</v>
      </c>
      <c r="AJ16" s="331">
        <f>'Tableau de bord'!AJ143</f>
        <v>0.2</v>
      </c>
      <c r="AK16" s="331">
        <f>'Tableau de bord'!AK143</f>
        <v>0.2</v>
      </c>
      <c r="AL16" s="331">
        <f>'Tableau de bord'!AL143</f>
        <v>0.2</v>
      </c>
      <c r="AM16" s="331">
        <f>'Tableau de bord'!AM143</f>
        <v>0.2</v>
      </c>
      <c r="AN16" s="331">
        <f>'Tableau de bord'!AN143</f>
        <v>0.2</v>
      </c>
      <c r="AO16" s="331">
        <f>'Tableau de bord'!AO143</f>
        <v>0.2</v>
      </c>
      <c r="AP16" s="331">
        <f>'Tableau de bord'!AP143</f>
        <v>0.2</v>
      </c>
      <c r="AQ16" s="331">
        <f>'Tableau de bord'!AQ143</f>
        <v>0.2</v>
      </c>
      <c r="AR16" s="331">
        <f>'Tableau de bord'!AR143</f>
        <v>0.2</v>
      </c>
      <c r="AS16" s="331">
        <f>'Tableau de bord'!AS143</f>
        <v>0.2</v>
      </c>
      <c r="AT16" s="331">
        <f>'Tableau de bord'!AT143</f>
        <v>0.2</v>
      </c>
      <c r="AU16" s="331">
        <f>'Tableau de bord'!AU143</f>
        <v>0.2</v>
      </c>
      <c r="AV16" s="331">
        <f>'Tableau de bord'!AV143</f>
        <v>0.2</v>
      </c>
      <c r="AW16" s="331">
        <f>'Tableau de bord'!AW143</f>
        <v>0.2</v>
      </c>
      <c r="AX16" s="331">
        <f>'Tableau de bord'!AX143</f>
        <v>0.2</v>
      </c>
      <c r="AY16" s="331">
        <f>'Tableau de bord'!AY143</f>
        <v>0.2</v>
      </c>
      <c r="AZ16" s="332">
        <f>'Tableau de bord'!AZ143</f>
        <v>0.2</v>
      </c>
    </row>
    <row r="17" spans="1:52">
      <c r="B17" s="19"/>
      <c r="C17" s="333"/>
      <c r="D17" s="333"/>
      <c r="E17" s="333"/>
      <c r="F17" s="333"/>
      <c r="G17" s="333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</row>
    <row r="18" spans="1:52">
      <c r="A18" s="5" t="s">
        <v>28</v>
      </c>
      <c r="C18" s="307">
        <f>'Revenus récurrents'!C8*C16</f>
        <v>7.452101265822785</v>
      </c>
      <c r="D18" s="308">
        <f>'Revenus récurrents'!D8*D16</f>
        <v>81.243952278481004</v>
      </c>
      <c r="E18" s="308">
        <f>'Revenus récurrents'!E8*E16</f>
        <v>369.30705512658233</v>
      </c>
      <c r="F18" s="308">
        <f>'Revenus récurrents'!F8*F16</f>
        <v>1107.2976541139242</v>
      </c>
      <c r="G18" s="308">
        <f>'Revenus récurrents'!G8*G16</f>
        <v>2422.2956417246837</v>
      </c>
      <c r="H18" s="308">
        <f>'Revenus récurrents'!H8*H16</f>
        <v>4274.9353606249997</v>
      </c>
      <c r="I18" s="308">
        <f>'Revenus récurrents'!I8*I16</f>
        <v>6449.9923574287977</v>
      </c>
      <c r="J18" s="308">
        <f>'Revenus récurrents'!J8*J16</f>
        <v>8600.3351492879756</v>
      </c>
      <c r="K18" s="308">
        <f>'Revenus récurrents'!K8*K16</f>
        <v>10527.169568357596</v>
      </c>
      <c r="L18" s="308">
        <f>'Revenus récurrents'!L8*L16</f>
        <v>12060.256515153482</v>
      </c>
      <c r="M18" s="308">
        <f>'Revenus récurrents'!M8*M16</f>
        <v>13149.614152136077</v>
      </c>
      <c r="N18" s="308">
        <f>'Revenus récurrents'!N8*N16</f>
        <v>13891.112244580698</v>
      </c>
      <c r="O18" s="308">
        <f>'Revenus récurrents'!O8*O16</f>
        <v>14313.116493683559</v>
      </c>
      <c r="P18" s="308">
        <f>'Revenus récurrents'!P8*P16</f>
        <v>14609.278540129835</v>
      </c>
      <c r="Q18" s="308">
        <f>'Revenus récurrents'!Q8*Q16</f>
        <v>14888.534457871272</v>
      </c>
      <c r="R18" s="308">
        <f>'Revenus récurrents'!R8*R16</f>
        <v>15099.560546597582</v>
      </c>
      <c r="S18" s="308">
        <f>'Revenus récurrents'!S8*S16</f>
        <v>15317.111715227704</v>
      </c>
      <c r="T18" s="308">
        <f>'Revenus récurrents'!T8*T16</f>
        <v>15496.490000418531</v>
      </c>
      <c r="U18" s="308">
        <f>'Revenus récurrents'!U8*U16</f>
        <v>15664.274920656986</v>
      </c>
      <c r="V18" s="308">
        <f>'Revenus récurrents'!V8*V16</f>
        <v>15816.443723626511</v>
      </c>
      <c r="W18" s="308">
        <f>'Revenus récurrents'!W8*W16</f>
        <v>15930.687898468896</v>
      </c>
      <c r="X18" s="308">
        <f>'Revenus récurrents'!X8*X16</f>
        <v>16052.182006615047</v>
      </c>
      <c r="Y18" s="308">
        <f>'Revenus récurrents'!Y8*Y16</f>
        <v>16099.158662958165</v>
      </c>
      <c r="Z18" s="308">
        <f>'Revenus récurrents'!Z8*Z16</f>
        <v>16099.158662958165</v>
      </c>
      <c r="AA18" s="308">
        <f>'Revenus récurrents'!AA8*AA16</f>
        <v>16099.158662958165</v>
      </c>
      <c r="AB18" s="308">
        <f>'Revenus récurrents'!AB8*AB16</f>
        <v>16099.158662958165</v>
      </c>
      <c r="AC18" s="308">
        <f>'Revenus récurrents'!AC8*AC16</f>
        <v>16099.158662958165</v>
      </c>
      <c r="AD18" s="308">
        <f>'Revenus récurrents'!AD8*AD16</f>
        <v>16099.158662958165</v>
      </c>
      <c r="AE18" s="308">
        <f>'Revenus récurrents'!AE8*AE16</f>
        <v>16099.158662958165</v>
      </c>
      <c r="AF18" s="308">
        <f>'Revenus récurrents'!AF8*AF16</f>
        <v>16099.158662958165</v>
      </c>
      <c r="AG18" s="308">
        <f>'Revenus récurrents'!AG8*AG16</f>
        <v>16099.158662958165</v>
      </c>
      <c r="AH18" s="308">
        <f>'Revenus récurrents'!AH8*AH16</f>
        <v>16099.158662958165</v>
      </c>
      <c r="AI18" s="308">
        <f>'Revenus récurrents'!AI8*AI16</f>
        <v>16099.158662958165</v>
      </c>
      <c r="AJ18" s="308">
        <f>'Revenus récurrents'!AJ8*AJ16</f>
        <v>16099.158662958165</v>
      </c>
      <c r="AK18" s="308">
        <f>'Revenus récurrents'!AK8*AK16</f>
        <v>16099.158662958165</v>
      </c>
      <c r="AL18" s="308">
        <f>'Revenus récurrents'!AL8*AL16</f>
        <v>16099.158662958165</v>
      </c>
      <c r="AM18" s="308">
        <f>'Revenus récurrents'!AM8*AM16</f>
        <v>16099.158662958165</v>
      </c>
      <c r="AN18" s="308">
        <f>'Revenus récurrents'!AN8*AN16</f>
        <v>16099.158662958165</v>
      </c>
      <c r="AO18" s="308">
        <f>'Revenus récurrents'!AO8*AO16</f>
        <v>16099.158662958165</v>
      </c>
      <c r="AP18" s="308">
        <f>'Revenus récurrents'!AP8*AP16</f>
        <v>16099.158662958165</v>
      </c>
      <c r="AQ18" s="308">
        <f>'Revenus récurrents'!AQ8*AQ16</f>
        <v>16099.158662958165</v>
      </c>
      <c r="AR18" s="308">
        <f>'Revenus récurrents'!AR8*AR16</f>
        <v>16099.158662958165</v>
      </c>
      <c r="AS18" s="308">
        <f>'Revenus récurrents'!AS8*AS16</f>
        <v>16099.158662958165</v>
      </c>
      <c r="AT18" s="308">
        <f>'Revenus récurrents'!AT8*AT16</f>
        <v>16099.158662958165</v>
      </c>
      <c r="AU18" s="308">
        <f>'Revenus récurrents'!AU8*AU16</f>
        <v>16099.158662958165</v>
      </c>
      <c r="AV18" s="308">
        <f>'Revenus récurrents'!AV8*AV16</f>
        <v>16099.158662958165</v>
      </c>
      <c r="AW18" s="308">
        <f>'Revenus récurrents'!AW8*AW16</f>
        <v>16099.158662958165</v>
      </c>
      <c r="AX18" s="308">
        <f>'Revenus récurrents'!AX8*AX16</f>
        <v>16099.158662958165</v>
      </c>
      <c r="AY18" s="308">
        <f>'Revenus récurrents'!AY8*AY16</f>
        <v>16099.158662958165</v>
      </c>
      <c r="AZ18" s="309">
        <f>'Revenus récurrents'!AZ8*AZ16</f>
        <v>16099.158662958165</v>
      </c>
    </row>
    <row r="19" spans="1:52">
      <c r="A19" s="83" t="s">
        <v>187</v>
      </c>
      <c r="B19" s="201"/>
      <c r="C19" s="106">
        <f t="shared" ref="C19:AH19" ca="1" si="3">SUMPRODUCT(C76:C85*C47:C56)</f>
        <v>56000</v>
      </c>
      <c r="D19" s="107">
        <f t="shared" ca="1" si="3"/>
        <v>91000</v>
      </c>
      <c r="E19" s="107">
        <f t="shared" ca="1" si="3"/>
        <v>105000</v>
      </c>
      <c r="F19" s="107">
        <f t="shared" ca="1" si="3"/>
        <v>112000</v>
      </c>
      <c r="G19" s="107">
        <f t="shared" ca="1" si="3"/>
        <v>671814.15670097596</v>
      </c>
      <c r="H19" s="107">
        <f t="shared" ca="1" si="3"/>
        <v>182000</v>
      </c>
      <c r="I19" s="107">
        <f t="shared" ca="1" si="3"/>
        <v>944833.3059606672</v>
      </c>
      <c r="J19" s="107">
        <f t="shared" ca="1" si="3"/>
        <v>168000.00000000003</v>
      </c>
      <c r="K19" s="107">
        <f t="shared" ca="1" si="3"/>
        <v>63000.000000000007</v>
      </c>
      <c r="L19" s="107">
        <f t="shared" ca="1" si="3"/>
        <v>1012977.7972313679</v>
      </c>
      <c r="M19" s="107">
        <f t="shared" ca="1" si="3"/>
        <v>0</v>
      </c>
      <c r="N19" s="107">
        <f t="shared" ca="1" si="3"/>
        <v>0</v>
      </c>
      <c r="O19" s="107">
        <f t="shared" ca="1" si="3"/>
        <v>0</v>
      </c>
      <c r="P19" s="107">
        <f t="shared" ca="1" si="3"/>
        <v>0</v>
      </c>
      <c r="Q19" s="107">
        <f t="shared" ca="1" si="3"/>
        <v>0</v>
      </c>
      <c r="R19" s="107">
        <f t="shared" ca="1" si="3"/>
        <v>0</v>
      </c>
      <c r="S19" s="107">
        <f t="shared" ca="1" si="3"/>
        <v>0</v>
      </c>
      <c r="T19" s="107">
        <f t="shared" ca="1" si="3"/>
        <v>0</v>
      </c>
      <c r="U19" s="107">
        <f t="shared" ca="1" si="3"/>
        <v>0</v>
      </c>
      <c r="V19" s="107">
        <f t="shared" ca="1" si="3"/>
        <v>0</v>
      </c>
      <c r="W19" s="107">
        <f t="shared" ca="1" si="3"/>
        <v>0</v>
      </c>
      <c r="X19" s="107">
        <f t="shared" ca="1" si="3"/>
        <v>0</v>
      </c>
      <c r="Y19" s="107">
        <f t="shared" ca="1" si="3"/>
        <v>0</v>
      </c>
      <c r="Z19" s="107">
        <f t="shared" ca="1" si="3"/>
        <v>0</v>
      </c>
      <c r="AA19" s="107">
        <f t="shared" ca="1" si="3"/>
        <v>0</v>
      </c>
      <c r="AB19" s="107">
        <f t="shared" ca="1" si="3"/>
        <v>0</v>
      </c>
      <c r="AC19" s="107">
        <f t="shared" ca="1" si="3"/>
        <v>0</v>
      </c>
      <c r="AD19" s="107">
        <f t="shared" ca="1" si="3"/>
        <v>0</v>
      </c>
      <c r="AE19" s="107">
        <f t="shared" ca="1" si="3"/>
        <v>0</v>
      </c>
      <c r="AF19" s="107">
        <f t="shared" ca="1" si="3"/>
        <v>0</v>
      </c>
      <c r="AG19" s="107">
        <f t="shared" ca="1" si="3"/>
        <v>0</v>
      </c>
      <c r="AH19" s="107">
        <f t="shared" ca="1" si="3"/>
        <v>0</v>
      </c>
      <c r="AI19" s="107">
        <f t="shared" ref="AI19:AZ19" ca="1" si="4">SUMPRODUCT(AI76:AI85*AI47:AI56)</f>
        <v>0</v>
      </c>
      <c r="AJ19" s="107">
        <f t="shared" ca="1" si="4"/>
        <v>0</v>
      </c>
      <c r="AK19" s="107">
        <f t="shared" ca="1" si="4"/>
        <v>0</v>
      </c>
      <c r="AL19" s="107">
        <f t="shared" ca="1" si="4"/>
        <v>0</v>
      </c>
      <c r="AM19" s="107">
        <f t="shared" ca="1" si="4"/>
        <v>0</v>
      </c>
      <c r="AN19" s="107">
        <f t="shared" ca="1" si="4"/>
        <v>0</v>
      </c>
      <c r="AO19" s="107">
        <f t="shared" ca="1" si="4"/>
        <v>0</v>
      </c>
      <c r="AP19" s="107">
        <f t="shared" ca="1" si="4"/>
        <v>0</v>
      </c>
      <c r="AQ19" s="107">
        <f t="shared" ca="1" si="4"/>
        <v>0</v>
      </c>
      <c r="AR19" s="107">
        <f t="shared" ca="1" si="4"/>
        <v>0</v>
      </c>
      <c r="AS19" s="107">
        <f t="shared" ca="1" si="4"/>
        <v>0</v>
      </c>
      <c r="AT19" s="107">
        <f t="shared" ca="1" si="4"/>
        <v>0</v>
      </c>
      <c r="AU19" s="107">
        <f t="shared" ca="1" si="4"/>
        <v>0</v>
      </c>
      <c r="AV19" s="107">
        <f t="shared" ca="1" si="4"/>
        <v>0</v>
      </c>
      <c r="AW19" s="107">
        <f t="shared" ca="1" si="4"/>
        <v>0</v>
      </c>
      <c r="AX19" s="107">
        <f t="shared" ca="1" si="4"/>
        <v>0</v>
      </c>
      <c r="AY19" s="107">
        <f t="shared" ca="1" si="4"/>
        <v>0</v>
      </c>
      <c r="AZ19" s="302">
        <f t="shared" ca="1" si="4"/>
        <v>0</v>
      </c>
    </row>
    <row r="20" spans="1:52">
      <c r="A20" s="83" t="s">
        <v>188</v>
      </c>
      <c r="B20" s="201"/>
      <c r="C20" s="106">
        <f t="shared" ref="C20:AH20" ca="1" si="5">SUMPRODUCT(C88:C102*C59:C73)</f>
        <v>57600</v>
      </c>
      <c r="D20" s="107">
        <f t="shared" ca="1" si="5"/>
        <v>136800</v>
      </c>
      <c r="E20" s="107">
        <f t="shared" ca="1" si="5"/>
        <v>199800</v>
      </c>
      <c r="F20" s="107">
        <f t="shared" ca="1" si="5"/>
        <v>245700</v>
      </c>
      <c r="G20" s="107">
        <f t="shared" ca="1" si="5"/>
        <v>1326155.3357405206</v>
      </c>
      <c r="H20" s="107">
        <f t="shared" ca="1" si="5"/>
        <v>513000</v>
      </c>
      <c r="I20" s="107">
        <f t="shared" ca="1" si="5"/>
        <v>2184551.4966539401</v>
      </c>
      <c r="J20" s="107">
        <f t="shared" ca="1" si="5"/>
        <v>548100.00000000012</v>
      </c>
      <c r="K20" s="107">
        <f t="shared" ca="1" si="5"/>
        <v>378000.00000000006</v>
      </c>
      <c r="L20" s="107">
        <f t="shared" ca="1" si="5"/>
        <v>2653908.9883443257</v>
      </c>
      <c r="M20" s="107">
        <f t="shared" ca="1" si="5"/>
        <v>122400</v>
      </c>
      <c r="N20" s="107">
        <f t="shared" ca="1" si="5"/>
        <v>50400</v>
      </c>
      <c r="O20" s="107">
        <f t="shared" ca="1" si="5"/>
        <v>10800</v>
      </c>
      <c r="P20" s="107">
        <f t="shared" ca="1" si="5"/>
        <v>0</v>
      </c>
      <c r="Q20" s="107">
        <f t="shared" ca="1" si="5"/>
        <v>0</v>
      </c>
      <c r="R20" s="107">
        <f t="shared" ca="1" si="5"/>
        <v>0</v>
      </c>
      <c r="S20" s="107">
        <f t="shared" ca="1" si="5"/>
        <v>0</v>
      </c>
      <c r="T20" s="107">
        <f t="shared" ca="1" si="5"/>
        <v>0</v>
      </c>
      <c r="U20" s="107">
        <f t="shared" ca="1" si="5"/>
        <v>0</v>
      </c>
      <c r="V20" s="107">
        <f t="shared" ca="1" si="5"/>
        <v>0</v>
      </c>
      <c r="W20" s="107">
        <f t="shared" ca="1" si="5"/>
        <v>0</v>
      </c>
      <c r="X20" s="107">
        <f t="shared" ca="1" si="5"/>
        <v>0</v>
      </c>
      <c r="Y20" s="107">
        <f t="shared" ca="1" si="5"/>
        <v>0</v>
      </c>
      <c r="Z20" s="107">
        <f t="shared" ca="1" si="5"/>
        <v>0</v>
      </c>
      <c r="AA20" s="107">
        <f t="shared" ca="1" si="5"/>
        <v>0</v>
      </c>
      <c r="AB20" s="107">
        <f t="shared" ca="1" si="5"/>
        <v>0</v>
      </c>
      <c r="AC20" s="107">
        <f t="shared" ca="1" si="5"/>
        <v>0</v>
      </c>
      <c r="AD20" s="107">
        <f t="shared" ca="1" si="5"/>
        <v>0</v>
      </c>
      <c r="AE20" s="107">
        <f t="shared" ca="1" si="5"/>
        <v>0</v>
      </c>
      <c r="AF20" s="107">
        <f t="shared" ca="1" si="5"/>
        <v>0</v>
      </c>
      <c r="AG20" s="107">
        <f t="shared" ca="1" si="5"/>
        <v>0</v>
      </c>
      <c r="AH20" s="107">
        <f t="shared" ca="1" si="5"/>
        <v>0</v>
      </c>
      <c r="AI20" s="107">
        <f t="shared" ref="AI20:AZ20" ca="1" si="6">SUMPRODUCT(AI88:AI102*AI59:AI73)</f>
        <v>0</v>
      </c>
      <c r="AJ20" s="107">
        <f t="shared" ca="1" si="6"/>
        <v>0</v>
      </c>
      <c r="AK20" s="107">
        <f t="shared" ca="1" si="6"/>
        <v>0</v>
      </c>
      <c r="AL20" s="107">
        <f t="shared" ca="1" si="6"/>
        <v>0</v>
      </c>
      <c r="AM20" s="107">
        <f t="shared" ca="1" si="6"/>
        <v>0</v>
      </c>
      <c r="AN20" s="107">
        <f t="shared" ca="1" si="6"/>
        <v>0</v>
      </c>
      <c r="AO20" s="107">
        <f t="shared" ca="1" si="6"/>
        <v>0</v>
      </c>
      <c r="AP20" s="107">
        <f t="shared" ca="1" si="6"/>
        <v>0</v>
      </c>
      <c r="AQ20" s="107">
        <f t="shared" ca="1" si="6"/>
        <v>0</v>
      </c>
      <c r="AR20" s="107">
        <f t="shared" ca="1" si="6"/>
        <v>0</v>
      </c>
      <c r="AS20" s="107">
        <f t="shared" ca="1" si="6"/>
        <v>0</v>
      </c>
      <c r="AT20" s="107">
        <f t="shared" ca="1" si="6"/>
        <v>0</v>
      </c>
      <c r="AU20" s="107">
        <f t="shared" ca="1" si="6"/>
        <v>0</v>
      </c>
      <c r="AV20" s="107">
        <f t="shared" ca="1" si="6"/>
        <v>0</v>
      </c>
      <c r="AW20" s="107">
        <f t="shared" ca="1" si="6"/>
        <v>0</v>
      </c>
      <c r="AX20" s="107">
        <f t="shared" ca="1" si="6"/>
        <v>0</v>
      </c>
      <c r="AY20" s="107">
        <f t="shared" ca="1" si="6"/>
        <v>0</v>
      </c>
      <c r="AZ20" s="302">
        <f t="shared" ca="1" si="6"/>
        <v>0</v>
      </c>
    </row>
    <row r="21" spans="1:52">
      <c r="A21" s="83" t="s">
        <v>186</v>
      </c>
      <c r="B21" s="201"/>
      <c r="C21" s="106">
        <f>SUM(C105:C114)</f>
        <v>0</v>
      </c>
      <c r="D21" s="107">
        <f t="shared" ref="D21:AZ21" si="7">SUM(D105:D114)</f>
        <v>0</v>
      </c>
      <c r="E21" s="107">
        <f t="shared" si="7"/>
        <v>0</v>
      </c>
      <c r="F21" s="107">
        <f t="shared" si="7"/>
        <v>0</v>
      </c>
      <c r="G21" s="107">
        <f t="shared" si="7"/>
        <v>0</v>
      </c>
      <c r="H21" s="107">
        <f t="shared" si="7"/>
        <v>0</v>
      </c>
      <c r="I21" s="107">
        <f t="shared" si="7"/>
        <v>0</v>
      </c>
      <c r="J21" s="107">
        <f t="shared" si="7"/>
        <v>0</v>
      </c>
      <c r="K21" s="107">
        <f t="shared" si="7"/>
        <v>0</v>
      </c>
      <c r="L21" s="107">
        <f t="shared" si="7"/>
        <v>0</v>
      </c>
      <c r="M21" s="107">
        <f t="shared" si="7"/>
        <v>0</v>
      </c>
      <c r="N21" s="107">
        <f t="shared" si="7"/>
        <v>0</v>
      </c>
      <c r="O21" s="107">
        <f t="shared" si="7"/>
        <v>0</v>
      </c>
      <c r="P21" s="107">
        <f t="shared" si="7"/>
        <v>0</v>
      </c>
      <c r="Q21" s="107">
        <f t="shared" si="7"/>
        <v>0</v>
      </c>
      <c r="R21" s="107">
        <f t="shared" si="7"/>
        <v>0</v>
      </c>
      <c r="S21" s="107">
        <f t="shared" si="7"/>
        <v>0</v>
      </c>
      <c r="T21" s="107">
        <f t="shared" si="7"/>
        <v>0</v>
      </c>
      <c r="U21" s="107">
        <f t="shared" si="7"/>
        <v>0</v>
      </c>
      <c r="V21" s="107">
        <f t="shared" si="7"/>
        <v>1600</v>
      </c>
      <c r="W21" s="107">
        <f t="shared" si="7"/>
        <v>2600</v>
      </c>
      <c r="X21" s="107">
        <f t="shared" si="7"/>
        <v>3000</v>
      </c>
      <c r="Y21" s="107">
        <f t="shared" si="7"/>
        <v>3200</v>
      </c>
      <c r="Z21" s="107">
        <f t="shared" si="7"/>
        <v>3000</v>
      </c>
      <c r="AA21" s="107">
        <f t="shared" si="7"/>
        <v>2600</v>
      </c>
      <c r="AB21" s="107">
        <f t="shared" si="7"/>
        <v>1800</v>
      </c>
      <c r="AC21" s="107">
        <f t="shared" si="7"/>
        <v>1600</v>
      </c>
      <c r="AD21" s="107">
        <f t="shared" si="7"/>
        <v>600</v>
      </c>
      <c r="AE21" s="107">
        <f t="shared" si="7"/>
        <v>0</v>
      </c>
      <c r="AF21" s="107">
        <f t="shared" si="7"/>
        <v>0</v>
      </c>
      <c r="AG21" s="107">
        <f t="shared" si="7"/>
        <v>0</v>
      </c>
      <c r="AH21" s="107">
        <f t="shared" si="7"/>
        <v>0</v>
      </c>
      <c r="AI21" s="107">
        <f t="shared" si="7"/>
        <v>0</v>
      </c>
      <c r="AJ21" s="107">
        <f t="shared" si="7"/>
        <v>0</v>
      </c>
      <c r="AK21" s="107">
        <f t="shared" si="7"/>
        <v>0</v>
      </c>
      <c r="AL21" s="107">
        <f t="shared" si="7"/>
        <v>0</v>
      </c>
      <c r="AM21" s="107">
        <f t="shared" si="7"/>
        <v>0</v>
      </c>
      <c r="AN21" s="107">
        <f t="shared" si="7"/>
        <v>0</v>
      </c>
      <c r="AO21" s="107">
        <f t="shared" si="7"/>
        <v>0</v>
      </c>
      <c r="AP21" s="107">
        <f t="shared" si="7"/>
        <v>1600</v>
      </c>
      <c r="AQ21" s="107">
        <f t="shared" si="7"/>
        <v>2600</v>
      </c>
      <c r="AR21" s="107">
        <f t="shared" si="7"/>
        <v>3000</v>
      </c>
      <c r="AS21" s="107">
        <f t="shared" si="7"/>
        <v>3200</v>
      </c>
      <c r="AT21" s="107">
        <f t="shared" si="7"/>
        <v>3000</v>
      </c>
      <c r="AU21" s="107">
        <f t="shared" si="7"/>
        <v>2600</v>
      </c>
      <c r="AV21" s="107">
        <f t="shared" si="7"/>
        <v>1800</v>
      </c>
      <c r="AW21" s="107">
        <f t="shared" si="7"/>
        <v>1600</v>
      </c>
      <c r="AX21" s="107">
        <f t="shared" si="7"/>
        <v>600</v>
      </c>
      <c r="AY21" s="107">
        <f t="shared" si="7"/>
        <v>0</v>
      </c>
      <c r="AZ21" s="302">
        <f t="shared" si="7"/>
        <v>0</v>
      </c>
    </row>
    <row r="22" spans="1:52">
      <c r="A22" s="83" t="s">
        <v>52</v>
      </c>
      <c r="B22" s="201"/>
      <c r="C22" s="590">
        <f ca="1">'Calcul de la réserve'!C15+'Calcul charges d''exploitation'!C8+'Calcul du coût du GC'!C10</f>
        <v>5.0653743870744652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1:52">
      <c r="A23" s="83" t="s">
        <v>47</v>
      </c>
      <c r="B23" s="201"/>
      <c r="C23" s="106">
        <f ca="1">C18*12*'Revenus récurrents'!$C$3*$C$22</f>
        <v>473.51482503525381</v>
      </c>
      <c r="D23" s="107">
        <f ca="1">D18*12*'Revenus récurrents'!$C$3*$C$22</f>
        <v>5162.3313312651217</v>
      </c>
      <c r="E23" s="107">
        <f ca="1">E18*12*'Revenus récurrents'!$C$3*$C$22</f>
        <v>23466.1821350385</v>
      </c>
      <c r="F23" s="107">
        <f ca="1">F18*12*'Revenus récurrents'!$C$3*$C$22</f>
        <v>70358.927803943559</v>
      </c>
      <c r="G23" s="107">
        <f ca="1">G18*12*'Revenus récurrents'!$C$3*$C$22</f>
        <v>153915.36642628835</v>
      </c>
      <c r="H23" s="107">
        <f ca="1">H18*12*'Revenus récurrents'!$C$3*$C$22</f>
        <v>271634.16023438447</v>
      </c>
      <c r="I23" s="107">
        <f ca="1">I18*12*'Revenus récurrents'!$C$3*$C$22</f>
        <v>409839.70744114829</v>
      </c>
      <c r="J23" s="107">
        <f ca="1">J18*12*'Revenus récurrents'!$C$3*$C$22</f>
        <v>546474.88650437805</v>
      </c>
      <c r="K23" s="107">
        <f ca="1">K18*12*'Revenus récurrents'!$C$3*$C$22</f>
        <v>668908.09430337592</v>
      </c>
      <c r="L23" s="107">
        <f ca="1">L18*12*'Revenus récurrents'!$C$3*$C$22</f>
        <v>766322.14860578149</v>
      </c>
      <c r="M23" s="107">
        <f ca="1">M18*12*'Revenus récurrents'!$C$3*$C$22</f>
        <v>835541.14771444118</v>
      </c>
      <c r="N23" s="107">
        <f ca="1">N18*12*'Revenus récurrents'!$C$3*$C$22</f>
        <v>882656.76342918864</v>
      </c>
      <c r="O23" s="107">
        <f ca="1">O18*12*'Revenus récurrents'!$C$3*$C$22</f>
        <v>909471.38403754309</v>
      </c>
      <c r="P23" s="107">
        <f ca="1">P18*12*'Revenus récurrents'!$C$3*$C$22</f>
        <v>928289.85074950976</v>
      </c>
      <c r="Q23" s="107">
        <f ca="1">Q18*12*'Revenus récurrents'!$C$3*$C$22</f>
        <v>946034.08318980748</v>
      </c>
      <c r="R23" s="107">
        <f ca="1">R18*12*'Revenus récurrents'!$C$3*$C$22</f>
        <v>959442.91620438127</v>
      </c>
      <c r="S23" s="107">
        <f ca="1">S18*12*'Revenus récurrents'!$C$3*$C$22</f>
        <v>973266.36007283151</v>
      </c>
      <c r="T23" s="107">
        <f ca="1">T18*12*'Revenus récurrents'!$C$3*$C$22</f>
        <v>984664.25635703874</v>
      </c>
      <c r="U23" s="107">
        <f ca="1">U18*12*'Revenus récurrents'!$C$3*$C$22</f>
        <v>995325.49730321823</v>
      </c>
      <c r="V23" s="107">
        <f ca="1">V18*12*'Revenus récurrents'!$C$3*$C$22</f>
        <v>1004994.4727429909</v>
      </c>
      <c r="W23" s="107">
        <f ca="1">W18*12*'Revenus récurrents'!$C$3*$C$22</f>
        <v>1012253.67501791</v>
      </c>
      <c r="X23" s="107">
        <f ca="1">X18*12*'Revenus récurrents'!$C$3*$C$22</f>
        <v>1019973.546140097</v>
      </c>
      <c r="Y23" s="107">
        <f ca="1">Y18*12*'Revenus récurrents'!$C$3*$C$22</f>
        <v>1022958.4952726417</v>
      </c>
      <c r="Z23" s="107">
        <f ca="1">Z18*12*'Revenus récurrents'!$C$3*$C$22</f>
        <v>1022958.4952726417</v>
      </c>
      <c r="AA23" s="107">
        <f ca="1">AA18*12*'Revenus récurrents'!$C$3*$C$22</f>
        <v>1022958.4952726417</v>
      </c>
      <c r="AB23" s="107">
        <f ca="1">AB18*12*'Revenus récurrents'!$C$3*$C$22</f>
        <v>1022958.4952726417</v>
      </c>
      <c r="AC23" s="107">
        <f ca="1">AC18*12*'Revenus récurrents'!$C$3*$C$22</f>
        <v>1022958.4952726417</v>
      </c>
      <c r="AD23" s="107">
        <f ca="1">AD18*12*'Revenus récurrents'!$C$3*$C$22</f>
        <v>1022958.4952726417</v>
      </c>
      <c r="AE23" s="107">
        <f ca="1">AE18*12*'Revenus récurrents'!$C$3*$C$22</f>
        <v>1022958.4952726417</v>
      </c>
      <c r="AF23" s="107">
        <f ca="1">AF18*12*'Revenus récurrents'!$C$3*$C$22</f>
        <v>1022958.4952726417</v>
      </c>
      <c r="AG23" s="107">
        <f ca="1">AG18*12*'Revenus récurrents'!$C$3*$C$22</f>
        <v>1022958.4952726417</v>
      </c>
      <c r="AH23" s="107">
        <f ca="1">AH18*12*'Revenus récurrents'!$C$3*$C$22</f>
        <v>1022958.4952726417</v>
      </c>
      <c r="AI23" s="107">
        <f ca="1">AI18*12*'Revenus récurrents'!$C$3*$C$22</f>
        <v>1022958.4952726417</v>
      </c>
      <c r="AJ23" s="107">
        <f ca="1">AJ18*12*'Revenus récurrents'!$C$3*$C$22</f>
        <v>1022958.4952726417</v>
      </c>
      <c r="AK23" s="107">
        <f ca="1">AK18*12*'Revenus récurrents'!$C$3*$C$22</f>
        <v>1022958.4952726417</v>
      </c>
      <c r="AL23" s="107">
        <f ca="1">AL18*12*'Revenus récurrents'!$C$3*$C$22</f>
        <v>1022958.4952726417</v>
      </c>
      <c r="AM23" s="107">
        <f ca="1">AM18*12*'Revenus récurrents'!$C$3*$C$22</f>
        <v>1022958.4952726417</v>
      </c>
      <c r="AN23" s="107">
        <f ca="1">AN18*12*'Revenus récurrents'!$C$3*$C$22</f>
        <v>1022958.4952726417</v>
      </c>
      <c r="AO23" s="107">
        <f ca="1">AO18*12*'Revenus récurrents'!$C$3*$C$22</f>
        <v>1022958.4952726417</v>
      </c>
      <c r="AP23" s="107">
        <f ca="1">AP18*12*'Revenus récurrents'!$C$3*$C$22</f>
        <v>1022958.4952726417</v>
      </c>
      <c r="AQ23" s="107">
        <f ca="1">AQ18*12*'Revenus récurrents'!$C$3*$C$22</f>
        <v>1022958.4952726417</v>
      </c>
      <c r="AR23" s="107">
        <f ca="1">AR18*12*'Revenus récurrents'!$C$3*$C$22</f>
        <v>1022958.4952726417</v>
      </c>
      <c r="AS23" s="107">
        <f ca="1">AS18*12*'Revenus récurrents'!$C$3*$C$22</f>
        <v>1022958.4952726417</v>
      </c>
      <c r="AT23" s="107">
        <f ca="1">AT18*12*'Revenus récurrents'!$C$3*$C$22</f>
        <v>1022958.4952726417</v>
      </c>
      <c r="AU23" s="107">
        <f ca="1">AU18*12*'Revenus récurrents'!$C$3*$C$22</f>
        <v>1022958.4952726417</v>
      </c>
      <c r="AV23" s="107">
        <f ca="1">AV18*12*'Revenus récurrents'!$C$3*$C$22</f>
        <v>1022958.4952726417</v>
      </c>
      <c r="AW23" s="107">
        <f ca="1">AW18*12*'Revenus récurrents'!$C$3*$C$22</f>
        <v>1022958.4952726417</v>
      </c>
      <c r="AX23" s="107">
        <f ca="1">AX18*12*'Revenus récurrents'!$C$3*$C$22</f>
        <v>1022958.4952726417</v>
      </c>
      <c r="AY23" s="107">
        <f ca="1">AY18*12*'Revenus récurrents'!$C$3*$C$22</f>
        <v>1022958.4952726417</v>
      </c>
      <c r="AZ23" s="302">
        <f ca="1">AZ18*12*'Revenus récurrents'!$C$3*$C$22</f>
        <v>1022958.4952726417</v>
      </c>
    </row>
    <row r="24" spans="1:52">
      <c r="A24" s="83"/>
      <c r="B24" s="201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</row>
    <row r="25" spans="1:52">
      <c r="A25" s="5" t="s">
        <v>23</v>
      </c>
      <c r="C25" s="106">
        <f ca="1">SUM(C19:C21)+C23</f>
        <v>114073.51482503525</v>
      </c>
      <c r="D25" s="107">
        <f t="shared" ref="D25:AZ25" ca="1" si="8">SUM(D19:D21)+D23</f>
        <v>232962.33133126513</v>
      </c>
      <c r="E25" s="107">
        <f t="shared" ca="1" si="8"/>
        <v>328266.18213503849</v>
      </c>
      <c r="F25" s="107">
        <f t="shared" ca="1" si="8"/>
        <v>428058.92780394357</v>
      </c>
      <c r="G25" s="107">
        <f t="shared" ca="1" si="8"/>
        <v>2151884.858867785</v>
      </c>
      <c r="H25" s="107">
        <f t="shared" ca="1" si="8"/>
        <v>966634.16023438447</v>
      </c>
      <c r="I25" s="107">
        <f t="shared" ca="1" si="8"/>
        <v>3539224.5100557557</v>
      </c>
      <c r="J25" s="107">
        <f t="shared" ca="1" si="8"/>
        <v>1262574.8865043782</v>
      </c>
      <c r="K25" s="107">
        <f t="shared" ca="1" si="8"/>
        <v>1109908.094303376</v>
      </c>
      <c r="L25" s="107">
        <f t="shared" ca="1" si="8"/>
        <v>4433208.9341814751</v>
      </c>
      <c r="M25" s="107">
        <f t="shared" ca="1" si="8"/>
        <v>957941.14771444118</v>
      </c>
      <c r="N25" s="107">
        <f t="shared" ca="1" si="8"/>
        <v>933056.76342918864</v>
      </c>
      <c r="O25" s="107">
        <f t="shared" ca="1" si="8"/>
        <v>920271.38403754309</v>
      </c>
      <c r="P25" s="107">
        <f t="shared" ca="1" si="8"/>
        <v>928289.85074950976</v>
      </c>
      <c r="Q25" s="107">
        <f t="shared" ca="1" si="8"/>
        <v>946034.08318980748</v>
      </c>
      <c r="R25" s="107">
        <f t="shared" ca="1" si="8"/>
        <v>959442.91620438127</v>
      </c>
      <c r="S25" s="107">
        <f t="shared" ca="1" si="8"/>
        <v>973266.36007283151</v>
      </c>
      <c r="T25" s="107">
        <f t="shared" ca="1" si="8"/>
        <v>984664.25635703874</v>
      </c>
      <c r="U25" s="107">
        <f t="shared" ca="1" si="8"/>
        <v>995325.49730321823</v>
      </c>
      <c r="V25" s="107">
        <f t="shared" ca="1" si="8"/>
        <v>1006594.4727429909</v>
      </c>
      <c r="W25" s="107">
        <f t="shared" ca="1" si="8"/>
        <v>1014853.67501791</v>
      </c>
      <c r="X25" s="107">
        <f t="shared" ca="1" si="8"/>
        <v>1022973.546140097</v>
      </c>
      <c r="Y25" s="107">
        <f t="shared" ca="1" si="8"/>
        <v>1026158.4952726417</v>
      </c>
      <c r="Z25" s="107">
        <f t="shared" ca="1" si="8"/>
        <v>1025958.4952726417</v>
      </c>
      <c r="AA25" s="107">
        <f t="shared" ca="1" si="8"/>
        <v>1025558.4952726417</v>
      </c>
      <c r="AB25" s="107">
        <f t="shared" ca="1" si="8"/>
        <v>1024758.4952726417</v>
      </c>
      <c r="AC25" s="107">
        <f t="shared" ca="1" si="8"/>
        <v>1024558.4952726417</v>
      </c>
      <c r="AD25" s="107">
        <f t="shared" ca="1" si="8"/>
        <v>1023558.4952726417</v>
      </c>
      <c r="AE25" s="107">
        <f t="shared" ca="1" si="8"/>
        <v>1022958.4952726417</v>
      </c>
      <c r="AF25" s="107">
        <f t="shared" ca="1" si="8"/>
        <v>1022958.4952726417</v>
      </c>
      <c r="AG25" s="107">
        <f t="shared" ca="1" si="8"/>
        <v>1022958.4952726417</v>
      </c>
      <c r="AH25" s="107">
        <f t="shared" ca="1" si="8"/>
        <v>1022958.4952726417</v>
      </c>
      <c r="AI25" s="107">
        <f t="shared" ca="1" si="8"/>
        <v>1022958.4952726417</v>
      </c>
      <c r="AJ25" s="107">
        <f t="shared" ca="1" si="8"/>
        <v>1022958.4952726417</v>
      </c>
      <c r="AK25" s="107">
        <f t="shared" ca="1" si="8"/>
        <v>1022958.4952726417</v>
      </c>
      <c r="AL25" s="107">
        <f t="shared" ca="1" si="8"/>
        <v>1022958.4952726417</v>
      </c>
      <c r="AM25" s="107">
        <f t="shared" ca="1" si="8"/>
        <v>1022958.4952726417</v>
      </c>
      <c r="AN25" s="107">
        <f t="shared" ca="1" si="8"/>
        <v>1022958.4952726417</v>
      </c>
      <c r="AO25" s="107">
        <f t="shared" ca="1" si="8"/>
        <v>1022958.4952726417</v>
      </c>
      <c r="AP25" s="107">
        <f t="shared" ca="1" si="8"/>
        <v>1024558.4952726417</v>
      </c>
      <c r="AQ25" s="107">
        <f t="shared" ca="1" si="8"/>
        <v>1025558.4952726417</v>
      </c>
      <c r="AR25" s="107">
        <f t="shared" ca="1" si="8"/>
        <v>1025958.4952726417</v>
      </c>
      <c r="AS25" s="107">
        <f t="shared" ca="1" si="8"/>
        <v>1026158.4952726417</v>
      </c>
      <c r="AT25" s="107">
        <f t="shared" ca="1" si="8"/>
        <v>1025958.4952726417</v>
      </c>
      <c r="AU25" s="107">
        <f t="shared" ca="1" si="8"/>
        <v>1025558.4952726417</v>
      </c>
      <c r="AV25" s="107">
        <f t="shared" ca="1" si="8"/>
        <v>1024758.4952726417</v>
      </c>
      <c r="AW25" s="107">
        <f t="shared" ca="1" si="8"/>
        <v>1024558.4952726417</v>
      </c>
      <c r="AX25" s="107">
        <f t="shared" ca="1" si="8"/>
        <v>1023558.4952726417</v>
      </c>
      <c r="AY25" s="107">
        <f t="shared" ca="1" si="8"/>
        <v>1022958.4952726417</v>
      </c>
      <c r="AZ25" s="302">
        <f t="shared" ca="1" si="8"/>
        <v>1022958.4952726417</v>
      </c>
    </row>
    <row r="26" spans="1:52"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spans="1:52">
      <c r="A27" s="5" t="s">
        <v>182</v>
      </c>
      <c r="C27" s="584">
        <f>SUM($C$15:C15)*'Revenus récurrents'!C6</f>
        <v>160</v>
      </c>
      <c r="D27" s="585">
        <f>SUM($C$15:D15)*'Revenus récurrents'!D6</f>
        <v>540</v>
      </c>
      <c r="E27" s="585">
        <f>SUM($C$15:E15)*'Revenus récurrents'!E6</f>
        <v>1095</v>
      </c>
      <c r="F27" s="585">
        <f>SUM($C$15:F15)*'Revenus récurrents'!F6</f>
        <v>1777.5</v>
      </c>
      <c r="G27" s="585">
        <f>SUM($C$15:G15)*'Revenus récurrents'!G6</f>
        <v>5030</v>
      </c>
      <c r="H27" s="585">
        <f>SUM($C$15:H15)*'Revenus récurrents'!H6</f>
        <v>6455</v>
      </c>
      <c r="I27" s="585">
        <f>SUM($C$15:I15)*'Revenus récurrents'!I6</f>
        <v>11497.500000000002</v>
      </c>
      <c r="J27" s="585">
        <f>SUM($C$15:J15)*'Revenus récurrents'!J6</f>
        <v>13020.000000000002</v>
      </c>
      <c r="K27" s="585">
        <f>SUM($C$15:K15)*'Revenus récurrents'!K6</f>
        <v>14070.000000000002</v>
      </c>
      <c r="L27" s="585">
        <f>SUM($C$15:L15)*'Revenus récurrents'!L6</f>
        <v>19490</v>
      </c>
      <c r="M27" s="585">
        <f>SUM($C$15:M15)*'Revenus récurrents'!M6</f>
        <v>19830</v>
      </c>
      <c r="N27" s="585">
        <f>SUM($C$15:N15)*'Revenus récurrents'!N6</f>
        <v>19970</v>
      </c>
      <c r="O27" s="585">
        <f>SUM($C$15:O15)*'Revenus récurrents'!O6</f>
        <v>20000</v>
      </c>
      <c r="P27" s="585">
        <f>SUM($C$15:P15)*'Revenus récurrents'!P6</f>
        <v>20000</v>
      </c>
      <c r="Q27" s="585">
        <f>SUM($C$15:Q15)*'Revenus récurrents'!Q6</f>
        <v>20000</v>
      </c>
      <c r="R27" s="585">
        <f>SUM($C$15:R15)*'Revenus récurrents'!R6</f>
        <v>20000</v>
      </c>
      <c r="S27" s="585">
        <f>SUM($C$15:S15)*'Revenus récurrents'!S6</f>
        <v>20000</v>
      </c>
      <c r="T27" s="585">
        <f>SUM($C$15:T15)*'Revenus récurrents'!T6</f>
        <v>20000</v>
      </c>
      <c r="U27" s="585">
        <f>SUM($C$15:U15)*'Revenus récurrents'!U6</f>
        <v>20000</v>
      </c>
      <c r="V27" s="585">
        <f>SUM($C$15:V15)*'Revenus récurrents'!V6</f>
        <v>20000</v>
      </c>
      <c r="W27" s="585">
        <f>SUM($C$15:W15)*'Revenus récurrents'!W6</f>
        <v>20000</v>
      </c>
      <c r="X27" s="585">
        <f>SUM($C$15:X15)*'Revenus récurrents'!X6</f>
        <v>20000</v>
      </c>
      <c r="Y27" s="585">
        <f>SUM($C$15:Y15)*'Revenus récurrents'!Y6</f>
        <v>20000</v>
      </c>
      <c r="Z27" s="585">
        <f>SUM($C$15:Z15)*'Revenus récurrents'!Z6</f>
        <v>20000</v>
      </c>
      <c r="AA27" s="585">
        <f>SUM($C$15:AA15)*'Revenus récurrents'!AA6</f>
        <v>20000</v>
      </c>
      <c r="AB27" s="585">
        <f>SUM($C$15:AB15)*'Revenus récurrents'!AB6</f>
        <v>20000</v>
      </c>
      <c r="AC27" s="585">
        <f>SUM($C$15:AC15)*'Revenus récurrents'!AC6</f>
        <v>20000</v>
      </c>
      <c r="AD27" s="585">
        <f>SUM($C$15:AD15)*'Revenus récurrents'!AD6</f>
        <v>20000</v>
      </c>
      <c r="AE27" s="585">
        <f>SUM($C$15:AE15)*'Revenus récurrents'!AE6</f>
        <v>20000</v>
      </c>
      <c r="AF27" s="585">
        <f>SUM($C$15:AF15)*'Revenus récurrents'!AF6</f>
        <v>20000</v>
      </c>
      <c r="AG27" s="585">
        <f>SUM($C$15:AG15)*'Revenus récurrents'!AG6</f>
        <v>20000</v>
      </c>
      <c r="AH27" s="585">
        <f>SUM($C$15:AH15)*'Revenus récurrents'!AH6</f>
        <v>20000</v>
      </c>
      <c r="AI27" s="585">
        <f>SUM($C$15:AI15)*'Revenus récurrents'!AI6</f>
        <v>20000</v>
      </c>
      <c r="AJ27" s="585">
        <f>SUM($C$15:AJ15)*'Revenus récurrents'!AJ6</f>
        <v>20000</v>
      </c>
      <c r="AK27" s="585">
        <f>SUM($C$15:AK15)*'Revenus récurrents'!AK6</f>
        <v>20000</v>
      </c>
      <c r="AL27" s="585">
        <f>SUM($C$15:AL15)*'Revenus récurrents'!AL6</f>
        <v>20000</v>
      </c>
      <c r="AM27" s="585">
        <f>SUM($C$15:AM15)*'Revenus récurrents'!AM6</f>
        <v>20000</v>
      </c>
      <c r="AN27" s="585">
        <f>SUM($C$15:AN15)*'Revenus récurrents'!AN6</f>
        <v>20000</v>
      </c>
      <c r="AO27" s="585">
        <f>SUM($C$15:AO15)*'Revenus récurrents'!AO6</f>
        <v>20000</v>
      </c>
      <c r="AP27" s="585">
        <f>SUM($C$15:AP15)*'Revenus récurrents'!AP6</f>
        <v>20000</v>
      </c>
      <c r="AQ27" s="585">
        <f>SUM($C$15:AQ15)*'Revenus récurrents'!AQ6</f>
        <v>20000</v>
      </c>
      <c r="AR27" s="585">
        <f>SUM($C$15:AR15)*'Revenus récurrents'!AR6</f>
        <v>20000</v>
      </c>
      <c r="AS27" s="585">
        <f>SUM($C$15:AS15)*'Revenus récurrents'!AS6</f>
        <v>20000</v>
      </c>
      <c r="AT27" s="585">
        <f>SUM($C$15:AT15)*'Revenus récurrents'!AT6</f>
        <v>20000</v>
      </c>
      <c r="AU27" s="585">
        <f>SUM($C$15:AU15)*'Revenus récurrents'!AU6</f>
        <v>20000</v>
      </c>
      <c r="AV27" s="585">
        <f>SUM($C$15:AV15)*'Revenus récurrents'!AV6</f>
        <v>20000</v>
      </c>
      <c r="AW27" s="585">
        <f>SUM($C$15:AW15)*'Revenus récurrents'!AW6</f>
        <v>20000</v>
      </c>
      <c r="AX27" s="585">
        <f>SUM($C$15:AX15)*'Revenus récurrents'!AX6</f>
        <v>20000</v>
      </c>
      <c r="AY27" s="585">
        <f>SUM($C$15:AY15)*'Revenus récurrents'!AY6</f>
        <v>20000</v>
      </c>
      <c r="AZ27" s="586">
        <f>SUM($C$15:AZ15)*'Revenus récurrents'!AZ6</f>
        <v>20000</v>
      </c>
    </row>
    <row r="28" spans="1:52">
      <c r="A28" s="5" t="s">
        <v>183</v>
      </c>
      <c r="C28" s="581">
        <f>IFERROR(C18/C27,0)</f>
        <v>4.6575632911392405E-2</v>
      </c>
      <c r="D28" s="582">
        <f t="shared" ref="D28:AZ28" si="9">IFERROR(D18/D27,0)</f>
        <v>0.15045176347866854</v>
      </c>
      <c r="E28" s="582">
        <f t="shared" si="9"/>
        <v>0.33726671701057748</v>
      </c>
      <c r="F28" s="582">
        <f>IFERROR(F18/F27,0)</f>
        <v>0.62295226673075899</v>
      </c>
      <c r="G28" s="582">
        <f t="shared" si="9"/>
        <v>0.48156971008443017</v>
      </c>
      <c r="H28" s="582">
        <f t="shared" si="9"/>
        <v>0.66226729056932609</v>
      </c>
      <c r="I28" s="582">
        <f t="shared" si="9"/>
        <v>0.56099085517971703</v>
      </c>
      <c r="J28" s="582">
        <f t="shared" si="9"/>
        <v>0.66054801453824685</v>
      </c>
      <c r="K28" s="582">
        <f>IFERROR(K18/K27,0)</f>
        <v>0.74819968502896905</v>
      </c>
      <c r="L28" s="582">
        <f t="shared" si="9"/>
        <v>0.61879202232701291</v>
      </c>
      <c r="M28" s="582">
        <f t="shared" si="9"/>
        <v>0.66311720383943906</v>
      </c>
      <c r="N28" s="582">
        <f t="shared" si="9"/>
        <v>0.69559901074515262</v>
      </c>
      <c r="O28" s="582">
        <f t="shared" si="9"/>
        <v>0.71565582468417799</v>
      </c>
      <c r="P28" s="582">
        <f t="shared" si="9"/>
        <v>0.73046392700649176</v>
      </c>
      <c r="Q28" s="582">
        <f t="shared" si="9"/>
        <v>0.7444267228935636</v>
      </c>
      <c r="R28" s="582">
        <f t="shared" si="9"/>
        <v>0.75497802732987906</v>
      </c>
      <c r="S28" s="582">
        <f t="shared" si="9"/>
        <v>0.76585558576138524</v>
      </c>
      <c r="T28" s="582">
        <f t="shared" si="9"/>
        <v>0.77482450002092651</v>
      </c>
      <c r="U28" s="582">
        <f t="shared" si="9"/>
        <v>0.78321374603284932</v>
      </c>
      <c r="V28" s="582">
        <f t="shared" si="9"/>
        <v>0.7908221861813256</v>
      </c>
      <c r="W28" s="582">
        <f t="shared" si="9"/>
        <v>0.7965343949234448</v>
      </c>
      <c r="X28" s="582">
        <f t="shared" si="9"/>
        <v>0.80260910033075239</v>
      </c>
      <c r="Y28" s="582">
        <f t="shared" si="9"/>
        <v>0.80495793314790831</v>
      </c>
      <c r="Z28" s="582">
        <f t="shared" si="9"/>
        <v>0.80495793314790831</v>
      </c>
      <c r="AA28" s="582">
        <f t="shared" si="9"/>
        <v>0.80495793314790831</v>
      </c>
      <c r="AB28" s="582">
        <f t="shared" si="9"/>
        <v>0.80495793314790831</v>
      </c>
      <c r="AC28" s="582">
        <f t="shared" si="9"/>
        <v>0.80495793314790831</v>
      </c>
      <c r="AD28" s="582">
        <f t="shared" si="9"/>
        <v>0.80495793314790831</v>
      </c>
      <c r="AE28" s="582">
        <f t="shared" si="9"/>
        <v>0.80495793314790831</v>
      </c>
      <c r="AF28" s="582">
        <f t="shared" si="9"/>
        <v>0.80495793314790831</v>
      </c>
      <c r="AG28" s="582">
        <f t="shared" si="9"/>
        <v>0.80495793314790831</v>
      </c>
      <c r="AH28" s="582">
        <f t="shared" si="9"/>
        <v>0.80495793314790831</v>
      </c>
      <c r="AI28" s="582">
        <f t="shared" si="9"/>
        <v>0.80495793314790831</v>
      </c>
      <c r="AJ28" s="582">
        <f t="shared" si="9"/>
        <v>0.80495793314790831</v>
      </c>
      <c r="AK28" s="582">
        <f t="shared" si="9"/>
        <v>0.80495793314790831</v>
      </c>
      <c r="AL28" s="582">
        <f t="shared" si="9"/>
        <v>0.80495793314790831</v>
      </c>
      <c r="AM28" s="582">
        <f t="shared" si="9"/>
        <v>0.80495793314790831</v>
      </c>
      <c r="AN28" s="582">
        <f t="shared" si="9"/>
        <v>0.80495793314790831</v>
      </c>
      <c r="AO28" s="582">
        <f t="shared" si="9"/>
        <v>0.80495793314790831</v>
      </c>
      <c r="AP28" s="582">
        <f t="shared" si="9"/>
        <v>0.80495793314790831</v>
      </c>
      <c r="AQ28" s="582">
        <f t="shared" si="9"/>
        <v>0.80495793314790831</v>
      </c>
      <c r="AR28" s="582">
        <f t="shared" si="9"/>
        <v>0.80495793314790831</v>
      </c>
      <c r="AS28" s="582">
        <f t="shared" si="9"/>
        <v>0.80495793314790831</v>
      </c>
      <c r="AT28" s="582">
        <f t="shared" si="9"/>
        <v>0.80495793314790831</v>
      </c>
      <c r="AU28" s="582">
        <f t="shared" si="9"/>
        <v>0.80495793314790831</v>
      </c>
      <c r="AV28" s="582">
        <f t="shared" si="9"/>
        <v>0.80495793314790831</v>
      </c>
      <c r="AW28" s="582">
        <f t="shared" si="9"/>
        <v>0.80495793314790831</v>
      </c>
      <c r="AX28" s="582">
        <f t="shared" si="9"/>
        <v>0.80495793314790831</v>
      </c>
      <c r="AY28" s="582">
        <f t="shared" si="9"/>
        <v>0.80495793314790831</v>
      </c>
      <c r="AZ28" s="583">
        <f t="shared" si="9"/>
        <v>0.80495793314790831</v>
      </c>
    </row>
    <row r="29" spans="1:52">
      <c r="A29" s="7" t="s">
        <v>189</v>
      </c>
      <c r="B29" s="335" t="b">
        <f>AND(C29:AZ29)</f>
        <v>1</v>
      </c>
      <c r="C29" s="336" t="b">
        <f>IF(C28&gt;1,FALSE,TRUE)</f>
        <v>1</v>
      </c>
      <c r="D29" s="336" t="b">
        <f>IF(D28&gt;1,FALSE,TRUE)</f>
        <v>1</v>
      </c>
      <c r="E29" s="336" t="b">
        <f t="shared" ref="E29:AZ29" si="10">IF(E28&gt;1,FALSE,TRUE)</f>
        <v>1</v>
      </c>
      <c r="F29" s="336" t="b">
        <f t="shared" si="10"/>
        <v>1</v>
      </c>
      <c r="G29" s="336" t="b">
        <f t="shared" si="10"/>
        <v>1</v>
      </c>
      <c r="H29" s="336" t="b">
        <f t="shared" si="10"/>
        <v>1</v>
      </c>
      <c r="I29" s="336" t="b">
        <f t="shared" si="10"/>
        <v>1</v>
      </c>
      <c r="J29" s="336" t="b">
        <f t="shared" si="10"/>
        <v>1</v>
      </c>
      <c r="K29" s="336" t="b">
        <f t="shared" si="10"/>
        <v>1</v>
      </c>
      <c r="L29" s="336" t="b">
        <f t="shared" si="10"/>
        <v>1</v>
      </c>
      <c r="M29" s="336" t="b">
        <f t="shared" si="10"/>
        <v>1</v>
      </c>
      <c r="N29" s="336" t="b">
        <f t="shared" si="10"/>
        <v>1</v>
      </c>
      <c r="O29" s="336" t="b">
        <f t="shared" si="10"/>
        <v>1</v>
      </c>
      <c r="P29" s="336" t="b">
        <f t="shared" si="10"/>
        <v>1</v>
      </c>
      <c r="Q29" s="336" t="b">
        <f t="shared" si="10"/>
        <v>1</v>
      </c>
      <c r="R29" s="336" t="b">
        <f t="shared" si="10"/>
        <v>1</v>
      </c>
      <c r="S29" s="336" t="b">
        <f t="shared" si="10"/>
        <v>1</v>
      </c>
      <c r="T29" s="336" t="b">
        <f t="shared" si="10"/>
        <v>1</v>
      </c>
      <c r="U29" s="336" t="b">
        <f t="shared" si="10"/>
        <v>1</v>
      </c>
      <c r="V29" s="336" t="b">
        <f t="shared" si="10"/>
        <v>1</v>
      </c>
      <c r="W29" s="336" t="b">
        <f t="shared" si="10"/>
        <v>1</v>
      </c>
      <c r="X29" s="336" t="b">
        <f t="shared" si="10"/>
        <v>1</v>
      </c>
      <c r="Y29" s="336" t="b">
        <f t="shared" si="10"/>
        <v>1</v>
      </c>
      <c r="Z29" s="336" t="b">
        <f t="shared" si="10"/>
        <v>1</v>
      </c>
      <c r="AA29" s="336" t="b">
        <f t="shared" si="10"/>
        <v>1</v>
      </c>
      <c r="AB29" s="336" t="b">
        <f t="shared" si="10"/>
        <v>1</v>
      </c>
      <c r="AC29" s="336" t="b">
        <f t="shared" si="10"/>
        <v>1</v>
      </c>
      <c r="AD29" s="336" t="b">
        <f t="shared" si="10"/>
        <v>1</v>
      </c>
      <c r="AE29" s="336" t="b">
        <f t="shared" si="10"/>
        <v>1</v>
      </c>
      <c r="AF29" s="336" t="b">
        <f t="shared" si="10"/>
        <v>1</v>
      </c>
      <c r="AG29" s="336" t="b">
        <f t="shared" si="10"/>
        <v>1</v>
      </c>
      <c r="AH29" s="336" t="b">
        <f t="shared" si="10"/>
        <v>1</v>
      </c>
      <c r="AI29" s="336" t="b">
        <f t="shared" si="10"/>
        <v>1</v>
      </c>
      <c r="AJ29" s="336" t="b">
        <f t="shared" si="10"/>
        <v>1</v>
      </c>
      <c r="AK29" s="336" t="b">
        <f t="shared" si="10"/>
        <v>1</v>
      </c>
      <c r="AL29" s="336" t="b">
        <f t="shared" si="10"/>
        <v>1</v>
      </c>
      <c r="AM29" s="336" t="b">
        <f t="shared" si="10"/>
        <v>1</v>
      </c>
      <c r="AN29" s="336" t="b">
        <f t="shared" si="10"/>
        <v>1</v>
      </c>
      <c r="AO29" s="336" t="b">
        <f t="shared" si="10"/>
        <v>1</v>
      </c>
      <c r="AP29" s="336" t="b">
        <f t="shared" si="10"/>
        <v>1</v>
      </c>
      <c r="AQ29" s="336" t="b">
        <f t="shared" si="10"/>
        <v>1</v>
      </c>
      <c r="AR29" s="336" t="b">
        <f t="shared" si="10"/>
        <v>1</v>
      </c>
      <c r="AS29" s="336" t="b">
        <f t="shared" si="10"/>
        <v>1</v>
      </c>
      <c r="AT29" s="336" t="b">
        <f t="shared" si="10"/>
        <v>1</v>
      </c>
      <c r="AU29" s="336" t="b">
        <f t="shared" si="10"/>
        <v>1</v>
      </c>
      <c r="AV29" s="336" t="b">
        <f t="shared" si="10"/>
        <v>1</v>
      </c>
      <c r="AW29" s="336" t="b">
        <f t="shared" si="10"/>
        <v>1</v>
      </c>
      <c r="AX29" s="336" t="b">
        <f t="shared" si="10"/>
        <v>1</v>
      </c>
      <c r="AY29" s="336" t="b">
        <f t="shared" si="10"/>
        <v>1</v>
      </c>
      <c r="AZ29" s="336" t="b">
        <f t="shared" si="10"/>
        <v>1</v>
      </c>
    </row>
    <row r="30" spans="1:52">
      <c r="A30" s="7"/>
      <c r="B30" s="335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</row>
    <row r="31" spans="1:52">
      <c r="A31" s="5" t="s">
        <v>45</v>
      </c>
      <c r="C31" s="339">
        <f ca="1">'Calcul de la réserve'!C15-C43/C44</f>
        <v>10.334523741900696</v>
      </c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</row>
    <row r="32" spans="1:52">
      <c r="A32" s="5" t="s">
        <v>74</v>
      </c>
      <c r="C32" s="340">
        <f ca="1">C31+'Calcul charges d''exploitation'!C8+'Calcul du coût du GC'!C10</f>
        <v>13.360965183883945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</row>
    <row r="33" spans="1:52">
      <c r="C33" s="341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</row>
    <row r="34" spans="1:52">
      <c r="A34" s="5" t="s">
        <v>73</v>
      </c>
      <c r="B34" s="342"/>
      <c r="C34" s="106">
        <f ca="1">C18*$C$32*12*'Revenus récurrents'!$C$3</f>
        <v>1248.9925932213066</v>
      </c>
      <c r="D34" s="107">
        <f ca="1">D18*$C$32*12*'Revenus récurrents'!$C$3</f>
        <v>13616.709035507778</v>
      </c>
      <c r="E34" s="107">
        <f ca="1">E18*$C$32*12*'Revenus récurrents'!$C$3</f>
        <v>61896.874455120043</v>
      </c>
      <c r="F34" s="107">
        <f ca="1">F18*$C$32*12*'Revenus récurrents'!$C$3</f>
        <v>185586.12116859391</v>
      </c>
      <c r="G34" s="107">
        <f ca="1">G18*$C$32*12*'Revenus récurrents'!$C$3</f>
        <v>405983.38739460817</v>
      </c>
      <c r="H34" s="107">
        <f ca="1">H18*$C$32*12*'Revenus récurrents'!$C$3</f>
        <v>716490.88108989364</v>
      </c>
      <c r="I34" s="107">
        <f ca="1">I18*$C$32*12*'Revenus récurrents'!$C$3</f>
        <v>1081036.3940851712</v>
      </c>
      <c r="J34" s="107">
        <f ca="1">J18*$C$32*12*'Revenus récurrents'!$C$3</f>
        <v>1441439.7386071412</v>
      </c>
      <c r="K34" s="107">
        <f ca="1">K18*$C$32*12*'Revenus récurrents'!$C$3</f>
        <v>1764382.4673672989</v>
      </c>
      <c r="L34" s="107">
        <f ca="1">L18*$C$32*12*'Revenus récurrents'!$C$3</f>
        <v>2021332.0407841483</v>
      </c>
      <c r="M34" s="107">
        <f ca="1">M18*$C$32*12*'Revenus récurrents'!$C$3</f>
        <v>2203911.3659203188</v>
      </c>
      <c r="N34" s="107">
        <f ca="1">N18*$C$32*12*'Revenus récurrents'!$C$3</f>
        <v>2328188.4781488529</v>
      </c>
      <c r="O34" s="107">
        <f ca="1">O18*$C$32*12*'Revenus récurrents'!$C$3</f>
        <v>2398917.546721058</v>
      </c>
      <c r="P34" s="107">
        <f ca="1">P18*$C$32*12*'Revenus récurrents'!$C$3</f>
        <v>2448555.1172813419</v>
      </c>
      <c r="Q34" s="107">
        <f ca="1">Q18*$C$32*12*'Revenus récurrents'!$C$3</f>
        <v>2495359.1743426574</v>
      </c>
      <c r="R34" s="107">
        <f ca="1">R18*$C$32*12*'Revenus récurrents'!$C$3</f>
        <v>2530727.7250901391</v>
      </c>
      <c r="S34" s="107">
        <f ca="1">S18*$C$32*12*'Revenus récurrents'!$C$3</f>
        <v>2567189.8971102429</v>
      </c>
      <c r="T34" s="107">
        <f ca="1">T18*$C$32*12*'Revenus récurrents'!$C$3</f>
        <v>2597254.1892603771</v>
      </c>
      <c r="U34" s="107">
        <f ca="1">U18*$C$32*12*'Revenus récurrents'!$C$3</f>
        <v>2625375.4016750772</v>
      </c>
      <c r="V34" s="107">
        <f ca="1">V18*$C$32*12*'Revenus récurrents'!$C$3</f>
        <v>2650879.3100424986</v>
      </c>
      <c r="W34" s="107">
        <f ca="1">W18*$C$32*12*'Revenus récurrents'!$C$3</f>
        <v>2670026.9468105645</v>
      </c>
      <c r="X34" s="107">
        <f ca="1">X18*$C$32*12*'Revenus récurrents'!$C$3</f>
        <v>2690389.6922674081</v>
      </c>
      <c r="Y34" s="107">
        <f ca="1">Y18*$C$32*12*'Revenus récurrents'!$C$3</f>
        <v>2698263.1086011268</v>
      </c>
      <c r="Z34" s="107">
        <f ca="1">Z18*$C$32*12*'Revenus récurrents'!$C$3</f>
        <v>2698263.1086011268</v>
      </c>
      <c r="AA34" s="107">
        <f ca="1">AA18*$C$32*12*'Revenus récurrents'!$C$3</f>
        <v>2698263.1086011268</v>
      </c>
      <c r="AB34" s="107">
        <f ca="1">AB18*$C$32*12*'Revenus récurrents'!$C$3</f>
        <v>2698263.1086011268</v>
      </c>
      <c r="AC34" s="107">
        <f ca="1">AC18*$C$32*12*'Revenus récurrents'!$C$3</f>
        <v>2698263.1086011268</v>
      </c>
      <c r="AD34" s="107">
        <f ca="1">AD18*$C$32*12*'Revenus récurrents'!$C$3</f>
        <v>2698263.1086011268</v>
      </c>
      <c r="AE34" s="107">
        <f ca="1">AE18*$C$32*12*'Revenus récurrents'!$C$3</f>
        <v>2698263.1086011268</v>
      </c>
      <c r="AF34" s="107">
        <f ca="1">AF18*$C$32*12*'Revenus récurrents'!$C$3</f>
        <v>2698263.1086011268</v>
      </c>
      <c r="AG34" s="107">
        <f ca="1">AG18*$C$32*12*'Revenus récurrents'!$C$3</f>
        <v>2698263.1086011268</v>
      </c>
      <c r="AH34" s="107">
        <f ca="1">AH18*$C$32*12*'Revenus récurrents'!$C$3</f>
        <v>2698263.1086011268</v>
      </c>
      <c r="AI34" s="107">
        <f ca="1">AI18*$C$32*12*'Revenus récurrents'!$C$3</f>
        <v>2698263.1086011268</v>
      </c>
      <c r="AJ34" s="107">
        <f ca="1">AJ18*$C$32*12*'Revenus récurrents'!$C$3</f>
        <v>2698263.1086011268</v>
      </c>
      <c r="AK34" s="107">
        <f ca="1">AK18*$C$32*12*'Revenus récurrents'!$C$3</f>
        <v>2698263.1086011268</v>
      </c>
      <c r="AL34" s="107">
        <f ca="1">AL18*$C$32*12*'Revenus récurrents'!$C$3</f>
        <v>2698263.1086011268</v>
      </c>
      <c r="AM34" s="107">
        <f ca="1">AM18*$C$32*12*'Revenus récurrents'!$C$3</f>
        <v>2698263.1086011268</v>
      </c>
      <c r="AN34" s="107">
        <f ca="1">AN18*$C$32*12*'Revenus récurrents'!$C$3</f>
        <v>2698263.1086011268</v>
      </c>
      <c r="AO34" s="107">
        <f ca="1">AO18*$C$32*12*'Revenus récurrents'!$C$3</f>
        <v>2698263.1086011268</v>
      </c>
      <c r="AP34" s="107">
        <f ca="1">AP18*$C$32*12*'Revenus récurrents'!$C$3</f>
        <v>2698263.1086011268</v>
      </c>
      <c r="AQ34" s="107">
        <f ca="1">AQ18*$C$32*12*'Revenus récurrents'!$C$3</f>
        <v>2698263.1086011268</v>
      </c>
      <c r="AR34" s="107">
        <f ca="1">AR18*$C$32*12*'Revenus récurrents'!$C$3</f>
        <v>2698263.1086011268</v>
      </c>
      <c r="AS34" s="107">
        <f ca="1">AS18*$C$32*12*'Revenus récurrents'!$C$3</f>
        <v>2698263.1086011268</v>
      </c>
      <c r="AT34" s="107">
        <f ca="1">AT18*$C$32*12*'Revenus récurrents'!$C$3</f>
        <v>2698263.1086011268</v>
      </c>
      <c r="AU34" s="107">
        <f ca="1">AU18*$C$32*12*'Revenus récurrents'!$C$3</f>
        <v>2698263.1086011268</v>
      </c>
      <c r="AV34" s="107">
        <f ca="1">AV18*$C$32*12*'Revenus récurrents'!$C$3</f>
        <v>2698263.1086011268</v>
      </c>
      <c r="AW34" s="107">
        <f ca="1">AW18*$C$32*12*'Revenus récurrents'!$C$3</f>
        <v>2698263.1086011268</v>
      </c>
      <c r="AX34" s="107">
        <f ca="1">AX18*$C$32*12*'Revenus récurrents'!$C$3</f>
        <v>2698263.1086011268</v>
      </c>
      <c r="AY34" s="107">
        <f ca="1">AY18*$C$32*12*'Revenus récurrents'!$C$3</f>
        <v>2698263.1086011268</v>
      </c>
      <c r="AZ34" s="302">
        <f ca="1">AZ18*$C$32*12*'Revenus récurrents'!$C$3</f>
        <v>2698263.1086011268</v>
      </c>
    </row>
    <row r="35" spans="1:52">
      <c r="A35" s="5" t="s">
        <v>12</v>
      </c>
      <c r="B35" s="342"/>
      <c r="C35" s="106">
        <f t="shared" ref="C35:AH35" ca="1" si="11">C34-C25</f>
        <v>-112824.52223181394</v>
      </c>
      <c r="D35" s="107">
        <f t="shared" ca="1" si="11"/>
        <v>-219345.62229575735</v>
      </c>
      <c r="E35" s="107">
        <f t="shared" ca="1" si="11"/>
        <v>-266369.30767991842</v>
      </c>
      <c r="F35" s="107">
        <f t="shared" ca="1" si="11"/>
        <v>-242472.80663534967</v>
      </c>
      <c r="G35" s="107">
        <f t="shared" ca="1" si="11"/>
        <v>-1745901.4714731767</v>
      </c>
      <c r="H35" s="107">
        <f t="shared" ca="1" si="11"/>
        <v>-250143.27914449084</v>
      </c>
      <c r="I35" s="107">
        <f t="shared" ca="1" si="11"/>
        <v>-2458188.1159705846</v>
      </c>
      <c r="J35" s="107">
        <f t="shared" ca="1" si="11"/>
        <v>178864.85210276302</v>
      </c>
      <c r="K35" s="107">
        <f t="shared" ca="1" si="11"/>
        <v>654474.37306392286</v>
      </c>
      <c r="L35" s="107">
        <f t="shared" ca="1" si="11"/>
        <v>-2411876.8933973266</v>
      </c>
      <c r="M35" s="107">
        <f t="shared" ca="1" si="11"/>
        <v>1245970.2182058776</v>
      </c>
      <c r="N35" s="107">
        <f t="shared" ca="1" si="11"/>
        <v>1395131.7147196643</v>
      </c>
      <c r="O35" s="107">
        <f t="shared" ca="1" si="11"/>
        <v>1478646.1626835149</v>
      </c>
      <c r="P35" s="107">
        <f t="shared" ca="1" si="11"/>
        <v>1520265.2665318321</v>
      </c>
      <c r="Q35" s="107">
        <f t="shared" ca="1" si="11"/>
        <v>1549325.0911528501</v>
      </c>
      <c r="R35" s="107">
        <f t="shared" ca="1" si="11"/>
        <v>1571284.8088857578</v>
      </c>
      <c r="S35" s="107">
        <f t="shared" ca="1" si="11"/>
        <v>1593923.5370374112</v>
      </c>
      <c r="T35" s="107">
        <f t="shared" ca="1" si="11"/>
        <v>1612589.9329033382</v>
      </c>
      <c r="U35" s="107">
        <f t="shared" ca="1" si="11"/>
        <v>1630049.904371859</v>
      </c>
      <c r="V35" s="107">
        <f t="shared" ca="1" si="11"/>
        <v>1644284.8372995076</v>
      </c>
      <c r="W35" s="107">
        <f t="shared" ca="1" si="11"/>
        <v>1655173.2717926544</v>
      </c>
      <c r="X35" s="107">
        <f t="shared" ca="1" si="11"/>
        <v>1667416.146127311</v>
      </c>
      <c r="Y35" s="107">
        <f t="shared" ca="1" si="11"/>
        <v>1672104.6133284853</v>
      </c>
      <c r="Z35" s="107">
        <f t="shared" ca="1" si="11"/>
        <v>1672304.6133284853</v>
      </c>
      <c r="AA35" s="107">
        <f t="shared" ca="1" si="11"/>
        <v>1672704.6133284853</v>
      </c>
      <c r="AB35" s="107">
        <f t="shared" ca="1" si="11"/>
        <v>1673504.6133284853</v>
      </c>
      <c r="AC35" s="107">
        <f t="shared" ca="1" si="11"/>
        <v>1673704.6133284853</v>
      </c>
      <c r="AD35" s="107">
        <f t="shared" ca="1" si="11"/>
        <v>1674704.6133284853</v>
      </c>
      <c r="AE35" s="107">
        <f t="shared" ca="1" si="11"/>
        <v>1675304.6133284853</v>
      </c>
      <c r="AF35" s="107">
        <f t="shared" ca="1" si="11"/>
        <v>1675304.6133284853</v>
      </c>
      <c r="AG35" s="107">
        <f t="shared" ca="1" si="11"/>
        <v>1675304.6133284853</v>
      </c>
      <c r="AH35" s="107">
        <f t="shared" ca="1" si="11"/>
        <v>1675304.6133284853</v>
      </c>
      <c r="AI35" s="107">
        <f t="shared" ref="AI35:AZ35" ca="1" si="12">AI34-AI25</f>
        <v>1675304.6133284853</v>
      </c>
      <c r="AJ35" s="107">
        <f t="shared" ca="1" si="12"/>
        <v>1675304.6133284853</v>
      </c>
      <c r="AK35" s="107">
        <f t="shared" ca="1" si="12"/>
        <v>1675304.6133284853</v>
      </c>
      <c r="AL35" s="107">
        <f t="shared" ca="1" si="12"/>
        <v>1675304.6133284853</v>
      </c>
      <c r="AM35" s="107">
        <f t="shared" ca="1" si="12"/>
        <v>1675304.6133284853</v>
      </c>
      <c r="AN35" s="107">
        <f t="shared" ca="1" si="12"/>
        <v>1675304.6133284853</v>
      </c>
      <c r="AO35" s="107">
        <f t="shared" ca="1" si="12"/>
        <v>1675304.6133284853</v>
      </c>
      <c r="AP35" s="107">
        <f t="shared" ca="1" si="12"/>
        <v>1673704.6133284853</v>
      </c>
      <c r="AQ35" s="107">
        <f t="shared" ca="1" si="12"/>
        <v>1672704.6133284853</v>
      </c>
      <c r="AR35" s="107">
        <f t="shared" ca="1" si="12"/>
        <v>1672304.6133284853</v>
      </c>
      <c r="AS35" s="107">
        <f t="shared" ca="1" si="12"/>
        <v>1672104.6133284853</v>
      </c>
      <c r="AT35" s="107">
        <f t="shared" ca="1" si="12"/>
        <v>1672304.6133284853</v>
      </c>
      <c r="AU35" s="107">
        <f t="shared" ca="1" si="12"/>
        <v>1672704.6133284853</v>
      </c>
      <c r="AV35" s="107">
        <f t="shared" ca="1" si="12"/>
        <v>1673504.6133284853</v>
      </c>
      <c r="AW35" s="107">
        <f t="shared" ca="1" si="12"/>
        <v>1673704.6133284853</v>
      </c>
      <c r="AX35" s="107">
        <f t="shared" ca="1" si="12"/>
        <v>1674704.6133284853</v>
      </c>
      <c r="AY35" s="107">
        <f t="shared" ca="1" si="12"/>
        <v>1675304.6133284853</v>
      </c>
      <c r="AZ35" s="302">
        <f t="shared" ca="1" si="12"/>
        <v>1675304.6133284853</v>
      </c>
    </row>
    <row r="37" spans="1:52">
      <c r="A37" s="5" t="s">
        <v>42</v>
      </c>
      <c r="C37" s="343">
        <f ca="1">SUMPRODUCT((OFFSET(C35,,,1,'Tableau de bord'!B9)),(OFFSET(C10,,,1,'Tableau de bord'!B9)))</f>
        <v>3.3469405025243759E-10</v>
      </c>
    </row>
    <row r="38" spans="1:52">
      <c r="A38" s="83"/>
      <c r="B38" s="201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</row>
    <row r="39" spans="1:52">
      <c r="A39" s="280" t="s">
        <v>21</v>
      </c>
      <c r="B39" s="201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</row>
    <row r="40" spans="1:52" hidden="1" outlineLevel="1">
      <c r="B40" s="345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</row>
    <row r="41" spans="1:52" s="350" customFormat="1" hidden="1" outlineLevel="1">
      <c r="A41" s="7" t="s">
        <v>70</v>
      </c>
      <c r="B41" s="346"/>
      <c r="C41" s="347">
        <f ca="1">SUM(C19:C21)</f>
        <v>113600</v>
      </c>
      <c r="D41" s="348">
        <f t="shared" ref="D41:AZ41" ca="1" si="13">SUM(D19:D21)</f>
        <v>227800</v>
      </c>
      <c r="E41" s="348">
        <f t="shared" ca="1" si="13"/>
        <v>304800</v>
      </c>
      <c r="F41" s="348">
        <f t="shared" ca="1" si="13"/>
        <v>357700</v>
      </c>
      <c r="G41" s="348">
        <f t="shared" ca="1" si="13"/>
        <v>1997969.4924414966</v>
      </c>
      <c r="H41" s="348">
        <f t="shared" ca="1" si="13"/>
        <v>695000</v>
      </c>
      <c r="I41" s="348">
        <f t="shared" ca="1" si="13"/>
        <v>3129384.8026146074</v>
      </c>
      <c r="J41" s="348">
        <f t="shared" ca="1" si="13"/>
        <v>716100.00000000012</v>
      </c>
      <c r="K41" s="348">
        <f t="shared" ca="1" si="13"/>
        <v>441000.00000000006</v>
      </c>
      <c r="L41" s="348">
        <f t="shared" ca="1" si="13"/>
        <v>3666886.7855756935</v>
      </c>
      <c r="M41" s="348">
        <f t="shared" ca="1" si="13"/>
        <v>122400</v>
      </c>
      <c r="N41" s="348">
        <f t="shared" ca="1" si="13"/>
        <v>50400</v>
      </c>
      <c r="O41" s="348">
        <f t="shared" ca="1" si="13"/>
        <v>10800</v>
      </c>
      <c r="P41" s="348">
        <f t="shared" ca="1" si="13"/>
        <v>0</v>
      </c>
      <c r="Q41" s="348">
        <f t="shared" ca="1" si="13"/>
        <v>0</v>
      </c>
      <c r="R41" s="348">
        <f t="shared" ca="1" si="13"/>
        <v>0</v>
      </c>
      <c r="S41" s="348">
        <f t="shared" ca="1" si="13"/>
        <v>0</v>
      </c>
      <c r="T41" s="348">
        <f t="shared" ca="1" si="13"/>
        <v>0</v>
      </c>
      <c r="U41" s="348">
        <f t="shared" ca="1" si="13"/>
        <v>0</v>
      </c>
      <c r="V41" s="348">
        <f t="shared" ca="1" si="13"/>
        <v>1600</v>
      </c>
      <c r="W41" s="348">
        <f t="shared" ca="1" si="13"/>
        <v>2600</v>
      </c>
      <c r="X41" s="348">
        <f t="shared" ca="1" si="13"/>
        <v>3000</v>
      </c>
      <c r="Y41" s="348">
        <f t="shared" ca="1" si="13"/>
        <v>3200</v>
      </c>
      <c r="Z41" s="348">
        <f t="shared" ca="1" si="13"/>
        <v>3000</v>
      </c>
      <c r="AA41" s="348">
        <f t="shared" ca="1" si="13"/>
        <v>2600</v>
      </c>
      <c r="AB41" s="348">
        <f t="shared" ca="1" si="13"/>
        <v>1800</v>
      </c>
      <c r="AC41" s="348">
        <f t="shared" ca="1" si="13"/>
        <v>1600</v>
      </c>
      <c r="AD41" s="348">
        <f t="shared" ca="1" si="13"/>
        <v>600</v>
      </c>
      <c r="AE41" s="348">
        <f t="shared" ca="1" si="13"/>
        <v>0</v>
      </c>
      <c r="AF41" s="348">
        <f t="shared" ca="1" si="13"/>
        <v>0</v>
      </c>
      <c r="AG41" s="348">
        <f t="shared" ca="1" si="13"/>
        <v>0</v>
      </c>
      <c r="AH41" s="348">
        <f t="shared" ca="1" si="13"/>
        <v>0</v>
      </c>
      <c r="AI41" s="348">
        <f t="shared" ca="1" si="13"/>
        <v>0</v>
      </c>
      <c r="AJ41" s="348">
        <f t="shared" ca="1" si="13"/>
        <v>0</v>
      </c>
      <c r="AK41" s="348">
        <f t="shared" ca="1" si="13"/>
        <v>0</v>
      </c>
      <c r="AL41" s="348">
        <f t="shared" ca="1" si="13"/>
        <v>0</v>
      </c>
      <c r="AM41" s="348">
        <f t="shared" ca="1" si="13"/>
        <v>0</v>
      </c>
      <c r="AN41" s="348">
        <f t="shared" ca="1" si="13"/>
        <v>0</v>
      </c>
      <c r="AO41" s="348">
        <f t="shared" ca="1" si="13"/>
        <v>0</v>
      </c>
      <c r="AP41" s="348">
        <f t="shared" ca="1" si="13"/>
        <v>1600</v>
      </c>
      <c r="AQ41" s="348">
        <f t="shared" ca="1" si="13"/>
        <v>2600</v>
      </c>
      <c r="AR41" s="348">
        <f t="shared" ca="1" si="13"/>
        <v>3000</v>
      </c>
      <c r="AS41" s="348">
        <f t="shared" ca="1" si="13"/>
        <v>3200</v>
      </c>
      <c r="AT41" s="348">
        <f t="shared" ca="1" si="13"/>
        <v>3000</v>
      </c>
      <c r="AU41" s="348">
        <f t="shared" ca="1" si="13"/>
        <v>2600</v>
      </c>
      <c r="AV41" s="348">
        <f t="shared" ca="1" si="13"/>
        <v>1800</v>
      </c>
      <c r="AW41" s="348">
        <f t="shared" ca="1" si="13"/>
        <v>1600</v>
      </c>
      <c r="AX41" s="348">
        <f t="shared" ca="1" si="13"/>
        <v>600</v>
      </c>
      <c r="AY41" s="348">
        <f t="shared" ca="1" si="13"/>
        <v>0</v>
      </c>
      <c r="AZ41" s="349">
        <f t="shared" ca="1" si="13"/>
        <v>0</v>
      </c>
    </row>
    <row r="42" spans="1:52" hidden="1" outlineLevel="1">
      <c r="A42" s="5" t="s">
        <v>63</v>
      </c>
      <c r="B42" s="345"/>
      <c r="C42" s="307">
        <f>C18*12*'Revenus récurrents'!$C$3</f>
        <v>93.480716103343127</v>
      </c>
      <c r="D42" s="308">
        <f>D18*12*'Revenus récurrents'!$C$3</f>
        <v>1019.1411210271181</v>
      </c>
      <c r="E42" s="308">
        <f>E18*12*'Revenus récurrents'!$C$3</f>
        <v>4632.6649013186807</v>
      </c>
      <c r="F42" s="308">
        <f>F18*12*'Revenus récurrents'!$C$3</f>
        <v>13890.173248295619</v>
      </c>
      <c r="G42" s="308">
        <f>G18*12*'Revenus récurrents'!$C$3</f>
        <v>30385.782898701593</v>
      </c>
      <c r="H42" s="308">
        <f>H18*12*'Revenus récurrents'!$C$3</f>
        <v>53625.682817744942</v>
      </c>
      <c r="I42" s="308">
        <f>I18*12*'Revenus récurrents'!$C$3</f>
        <v>80910.052470544717</v>
      </c>
      <c r="J42" s="308">
        <f>J18*12*'Revenus récurrents'!$C$3</f>
        <v>107884.40197013703</v>
      </c>
      <c r="K42" s="308">
        <f>K18*12*'Revenus récurrents'!$C$3</f>
        <v>132055.01571813875</v>
      </c>
      <c r="L42" s="308">
        <f>L18*12*'Revenus récurrents'!$C$3</f>
        <v>151286.37886297976</v>
      </c>
      <c r="M42" s="308">
        <f>M18*12*'Revenus récurrents'!$C$3</f>
        <v>164951.50878610823</v>
      </c>
      <c r="N42" s="308">
        <f>N18*12*'Revenus récurrents'!$C$3</f>
        <v>174253.01586423742</v>
      </c>
      <c r="O42" s="308">
        <f>O18*12*'Revenus récurrents'!$C$3</f>
        <v>179546.72538288197</v>
      </c>
      <c r="P42" s="308">
        <f>P18*12*'Revenus récurrents'!$C$3</f>
        <v>183261.84400471309</v>
      </c>
      <c r="Q42" s="308">
        <f>Q18*12*'Revenus récurrents'!$C$3</f>
        <v>186764.88861392823</v>
      </c>
      <c r="R42" s="308">
        <f>R18*12*'Revenus récurrents'!$C$3</f>
        <v>189412.04398486976</v>
      </c>
      <c r="S42" s="308">
        <f>S18*12*'Revenus récurrents'!$C$3</f>
        <v>192141.05132216038</v>
      </c>
      <c r="T42" s="308">
        <f>T18*12*'Revenus récurrents'!$C$3</f>
        <v>194391.21002973622</v>
      </c>
      <c r="U42" s="308">
        <f>U18*12*'Revenus récurrents'!$C$3</f>
        <v>196495.939143814</v>
      </c>
      <c r="V42" s="308">
        <f>V18*12*'Revenus récurrents'!$C$3</f>
        <v>198404.77641839837</v>
      </c>
      <c r="W42" s="308">
        <f>W18*12*'Revenus récurrents'!$C$3</f>
        <v>199837.87922980016</v>
      </c>
      <c r="X42" s="308">
        <f>X18*12*'Revenus récurrents'!$C$3</f>
        <v>201361.92672012706</v>
      </c>
      <c r="Y42" s="308">
        <f>Y18*12*'Revenus récurrents'!$C$3</f>
        <v>201951.21171753248</v>
      </c>
      <c r="Z42" s="308">
        <f>Z18*12*'Revenus récurrents'!$C$3</f>
        <v>201951.21171753248</v>
      </c>
      <c r="AA42" s="308">
        <f>AA18*12*'Revenus récurrents'!$C$3</f>
        <v>201951.21171753248</v>
      </c>
      <c r="AB42" s="308">
        <f>AB18*12*'Revenus récurrents'!$C$3</f>
        <v>201951.21171753248</v>
      </c>
      <c r="AC42" s="308">
        <f>AC18*12*'Revenus récurrents'!$C$3</f>
        <v>201951.21171753248</v>
      </c>
      <c r="AD42" s="308">
        <f>AD18*12*'Revenus récurrents'!$C$3</f>
        <v>201951.21171753248</v>
      </c>
      <c r="AE42" s="308">
        <f>AE18*12*'Revenus récurrents'!$C$3</f>
        <v>201951.21171753248</v>
      </c>
      <c r="AF42" s="308">
        <f>AF18*12*'Revenus récurrents'!$C$3</f>
        <v>201951.21171753248</v>
      </c>
      <c r="AG42" s="308">
        <f>AG18*12*'Revenus récurrents'!$C$3</f>
        <v>201951.21171753248</v>
      </c>
      <c r="AH42" s="308">
        <f>AH18*12*'Revenus récurrents'!$C$3</f>
        <v>201951.21171753248</v>
      </c>
      <c r="AI42" s="308">
        <f>AI18*12*'Revenus récurrents'!$C$3</f>
        <v>201951.21171753248</v>
      </c>
      <c r="AJ42" s="308">
        <f>AJ18*12*'Revenus récurrents'!$C$3</f>
        <v>201951.21171753248</v>
      </c>
      <c r="AK42" s="308">
        <f>AK18*12*'Revenus récurrents'!$C$3</f>
        <v>201951.21171753248</v>
      </c>
      <c r="AL42" s="308">
        <f>AL18*12*'Revenus récurrents'!$C$3</f>
        <v>201951.21171753248</v>
      </c>
      <c r="AM42" s="308">
        <f>AM18*12*'Revenus récurrents'!$C$3</f>
        <v>201951.21171753248</v>
      </c>
      <c r="AN42" s="308">
        <f>AN18*12*'Revenus récurrents'!$C$3</f>
        <v>201951.21171753248</v>
      </c>
      <c r="AO42" s="308">
        <f>AO18*12*'Revenus récurrents'!$C$3</f>
        <v>201951.21171753248</v>
      </c>
      <c r="AP42" s="308">
        <f>AP18*12*'Revenus récurrents'!$C$3</f>
        <v>201951.21171753248</v>
      </c>
      <c r="AQ42" s="308">
        <f>AQ18*12*'Revenus récurrents'!$C$3</f>
        <v>201951.21171753248</v>
      </c>
      <c r="AR42" s="308">
        <f>AR18*12*'Revenus récurrents'!$C$3</f>
        <v>201951.21171753248</v>
      </c>
      <c r="AS42" s="308">
        <f>AS18*12*'Revenus récurrents'!$C$3</f>
        <v>201951.21171753248</v>
      </c>
      <c r="AT42" s="308">
        <f>AT18*12*'Revenus récurrents'!$C$3</f>
        <v>201951.21171753248</v>
      </c>
      <c r="AU42" s="308">
        <f>AU18*12*'Revenus récurrents'!$C$3</f>
        <v>201951.21171753248</v>
      </c>
      <c r="AV42" s="308">
        <f>AV18*12*'Revenus récurrents'!$C$3</f>
        <v>201951.21171753248</v>
      </c>
      <c r="AW42" s="308">
        <f>AW18*12*'Revenus récurrents'!$C$3</f>
        <v>201951.21171753248</v>
      </c>
      <c r="AX42" s="308">
        <f>AX18*12*'Revenus récurrents'!$C$3</f>
        <v>201951.21171753248</v>
      </c>
      <c r="AY42" s="308">
        <f>AY18*12*'Revenus récurrents'!$C$3</f>
        <v>201951.21171753248</v>
      </c>
      <c r="AZ42" s="309">
        <f>AZ18*12*'Revenus récurrents'!$C$3</f>
        <v>201951.21171753248</v>
      </c>
    </row>
    <row r="43" spans="1:52" hidden="1" outlineLevel="1">
      <c r="A43" s="5" t="s">
        <v>55</v>
      </c>
      <c r="B43" s="346" t="s">
        <v>53</v>
      </c>
      <c r="C43" s="351">
        <f ca="1">-SUMPRODUCT((OFFSET(C41,,,1,'Tableau de bord'!B9)),(OFFSET(C10,,,1,'Tableau de bord'!B9)))</f>
        <v>-5933295.3578251824</v>
      </c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</row>
    <row r="44" spans="1:52" hidden="1" outlineLevel="1">
      <c r="A44" s="352"/>
      <c r="B44" s="346" t="s">
        <v>54</v>
      </c>
      <c r="C44" s="351">
        <f ca="1">SUMPRODUCT((OFFSET(C42,,,1,'Tableau de bord'!B9)),(OFFSET(C10,,,1,'Tableau de bord'!B9)))</f>
        <v>715234.81607930246</v>
      </c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</row>
    <row r="45" spans="1:52" hidden="1" outlineLevel="1">
      <c r="A45" s="353"/>
      <c r="B45" s="328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X45" s="67"/>
      <c r="Y45" s="67"/>
      <c r="Z45" s="67"/>
      <c r="AA45" s="67"/>
      <c r="AB45" s="67"/>
      <c r="AC45" s="67"/>
      <c r="AD45" s="67"/>
      <c r="AE45" s="67"/>
      <c r="AF45" s="67"/>
    </row>
    <row r="46" spans="1:52" hidden="1" outlineLevel="1">
      <c r="A46" s="329" t="s">
        <v>161</v>
      </c>
      <c r="B46" s="354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1:52" hidden="1" outlineLevel="1">
      <c r="A47" s="355" t="s">
        <v>151</v>
      </c>
      <c r="B47" s="201"/>
      <c r="C47" s="356">
        <f t="shared" ref="C47:AH47" ca="1" si="14">$C$13*C$11*$C$2</f>
        <v>1120000</v>
      </c>
      <c r="D47" s="357">
        <f t="shared" ca="1" si="14"/>
        <v>1255584.9782003958</v>
      </c>
      <c r="E47" s="357">
        <f t="shared" ca="1" si="14"/>
        <v>1396823.4947923587</v>
      </c>
      <c r="F47" s="357">
        <f t="shared" ca="1" si="14"/>
        <v>1538931.2739066789</v>
      </c>
      <c r="G47" s="357">
        <f t="shared" ca="1" si="14"/>
        <v>1605305.8047847031</v>
      </c>
      <c r="H47" s="357">
        <f t="shared" ca="1" si="14"/>
        <v>1653648.3861811485</v>
      </c>
      <c r="I47" s="357">
        <f t="shared" ca="1" si="14"/>
        <v>1682306.9175729833</v>
      </c>
      <c r="J47" s="357">
        <f t="shared" ca="1" si="14"/>
        <v>1692613.5001569968</v>
      </c>
      <c r="K47" s="357">
        <f t="shared" ca="1" si="14"/>
        <v>1688253.7088911121</v>
      </c>
      <c r="L47" s="357">
        <f t="shared" ca="1" si="14"/>
        <v>1669701.3181116453</v>
      </c>
      <c r="M47" s="357">
        <f t="shared" ca="1" si="14"/>
        <v>1638841.517741563</v>
      </c>
      <c r="N47" s="357">
        <f t="shared" ca="1" si="14"/>
        <v>1596662.4134283185</v>
      </c>
      <c r="O47" s="357">
        <f t="shared" ca="1" si="14"/>
        <v>1544954.0958536319</v>
      </c>
      <c r="P47" s="357">
        <f t="shared" ca="1" si="14"/>
        <v>1485905.7302007112</v>
      </c>
      <c r="Q47" s="357">
        <f t="shared" ca="1" si="14"/>
        <v>1417955.2017866299</v>
      </c>
      <c r="R47" s="357">
        <f t="shared" ca="1" si="14"/>
        <v>1341509.3030824172</v>
      </c>
      <c r="S47" s="357">
        <f t="shared" ca="1" si="14"/>
        <v>1256491.8939610729</v>
      </c>
      <c r="T47" s="357">
        <f t="shared" ca="1" si="14"/>
        <v>1161431.2884370608</v>
      </c>
      <c r="U47" s="357">
        <f t="shared" ca="1" si="14"/>
        <v>1057265.2498931387</v>
      </c>
      <c r="V47" s="357">
        <f t="shared" ca="1" si="14"/>
        <v>941801.45257934229</v>
      </c>
      <c r="W47" s="357">
        <f t="shared" ca="1" si="14"/>
        <v>815978.63200411631</v>
      </c>
      <c r="X47" s="357">
        <f t="shared" ca="1" si="14"/>
        <v>678071.55395599024</v>
      </c>
      <c r="Y47" s="357">
        <f t="shared" ca="1" si="14"/>
        <v>527803.94541873538</v>
      </c>
      <c r="Z47" s="357">
        <f t="shared" ca="1" si="14"/>
        <v>448000</v>
      </c>
      <c r="AA47" s="357">
        <f t="shared" ca="1" si="14"/>
        <v>448000</v>
      </c>
      <c r="AB47" s="357">
        <f t="shared" ca="1" si="14"/>
        <v>448000</v>
      </c>
      <c r="AC47" s="357">
        <f t="shared" ca="1" si="14"/>
        <v>448000</v>
      </c>
      <c r="AD47" s="357">
        <f t="shared" ca="1" si="14"/>
        <v>448000</v>
      </c>
      <c r="AE47" s="357">
        <f t="shared" ca="1" si="14"/>
        <v>448000</v>
      </c>
      <c r="AF47" s="357">
        <f t="shared" ca="1" si="14"/>
        <v>448000</v>
      </c>
      <c r="AG47" s="357">
        <f t="shared" ca="1" si="14"/>
        <v>448000</v>
      </c>
      <c r="AH47" s="357">
        <f t="shared" ca="1" si="14"/>
        <v>448000</v>
      </c>
      <c r="AI47" s="357">
        <f t="shared" ref="AI47:AZ47" ca="1" si="15">$C$13*AI$11*$C$2</f>
        <v>448000</v>
      </c>
      <c r="AJ47" s="357">
        <f t="shared" ca="1" si="15"/>
        <v>448000</v>
      </c>
      <c r="AK47" s="357">
        <f t="shared" ca="1" si="15"/>
        <v>448000</v>
      </c>
      <c r="AL47" s="357">
        <f t="shared" ca="1" si="15"/>
        <v>448000</v>
      </c>
      <c r="AM47" s="357">
        <f t="shared" ca="1" si="15"/>
        <v>448000</v>
      </c>
      <c r="AN47" s="357">
        <f t="shared" ca="1" si="15"/>
        <v>448000</v>
      </c>
      <c r="AO47" s="357">
        <f t="shared" ca="1" si="15"/>
        <v>448000</v>
      </c>
      <c r="AP47" s="357">
        <f t="shared" ca="1" si="15"/>
        <v>448000</v>
      </c>
      <c r="AQ47" s="357">
        <f t="shared" ca="1" si="15"/>
        <v>448000</v>
      </c>
      <c r="AR47" s="357">
        <f t="shared" ca="1" si="15"/>
        <v>448000</v>
      </c>
      <c r="AS47" s="357">
        <f t="shared" ca="1" si="15"/>
        <v>448000</v>
      </c>
      <c r="AT47" s="357">
        <f t="shared" ca="1" si="15"/>
        <v>448000</v>
      </c>
      <c r="AU47" s="357">
        <f t="shared" ca="1" si="15"/>
        <v>448000</v>
      </c>
      <c r="AV47" s="357">
        <f t="shared" ca="1" si="15"/>
        <v>448000</v>
      </c>
      <c r="AW47" s="357">
        <f t="shared" ca="1" si="15"/>
        <v>448000</v>
      </c>
      <c r="AX47" s="357">
        <f t="shared" ca="1" si="15"/>
        <v>448000</v>
      </c>
      <c r="AY47" s="357">
        <f t="shared" ca="1" si="15"/>
        <v>448000</v>
      </c>
      <c r="AZ47" s="358">
        <f t="shared" ca="1" si="15"/>
        <v>448000</v>
      </c>
    </row>
    <row r="48" spans="1:52" hidden="1" outlineLevel="1">
      <c r="A48" s="359" t="s">
        <v>152</v>
      </c>
      <c r="B48" s="354"/>
      <c r="C48" s="360"/>
      <c r="D48" s="361">
        <f t="shared" ref="D48:AI48" ca="1" si="16">$D$13*C$11*$C$2</f>
        <v>1820000</v>
      </c>
      <c r="E48" s="362">
        <f t="shared" ca="1" si="16"/>
        <v>2040325.5895756432</v>
      </c>
      <c r="F48" s="362">
        <f t="shared" ca="1" si="16"/>
        <v>2269838.1790375831</v>
      </c>
      <c r="G48" s="362">
        <f t="shared" ca="1" si="16"/>
        <v>2500763.3200983531</v>
      </c>
      <c r="H48" s="362">
        <f t="shared" ca="1" si="16"/>
        <v>2608621.9327751426</v>
      </c>
      <c r="I48" s="362">
        <f t="shared" ca="1" si="16"/>
        <v>2687178.6275443663</v>
      </c>
      <c r="J48" s="362">
        <f t="shared" ca="1" si="16"/>
        <v>2733748.7410560977</v>
      </c>
      <c r="K48" s="362">
        <f t="shared" ca="1" si="16"/>
        <v>2750496.93775512</v>
      </c>
      <c r="L48" s="362">
        <f t="shared" ca="1" si="16"/>
        <v>2743412.2769480571</v>
      </c>
      <c r="M48" s="362">
        <f t="shared" ca="1" si="16"/>
        <v>2713264.6419314239</v>
      </c>
      <c r="N48" s="362">
        <f t="shared" ca="1" si="16"/>
        <v>2663117.4663300398</v>
      </c>
      <c r="O48" s="362">
        <f t="shared" ca="1" si="16"/>
        <v>2594576.4218210173</v>
      </c>
      <c r="P48" s="362">
        <f t="shared" ca="1" si="16"/>
        <v>2510550.4057621518</v>
      </c>
      <c r="Q48" s="362">
        <f t="shared" ca="1" si="16"/>
        <v>2414596.8115761555</v>
      </c>
      <c r="R48" s="362">
        <f t="shared" ca="1" si="16"/>
        <v>2304177.2029032735</v>
      </c>
      <c r="S48" s="362">
        <f t="shared" ca="1" si="16"/>
        <v>2179952.6175089278</v>
      </c>
      <c r="T48" s="362">
        <f t="shared" ca="1" si="16"/>
        <v>2041799.3276867436</v>
      </c>
      <c r="U48" s="362">
        <f t="shared" ca="1" si="16"/>
        <v>1887325.8437102234</v>
      </c>
      <c r="V48" s="362">
        <f t="shared" ca="1" si="16"/>
        <v>1718056.0310763502</v>
      </c>
      <c r="W48" s="362">
        <f t="shared" ca="1" si="16"/>
        <v>1530427.3604414312</v>
      </c>
      <c r="X48" s="362">
        <f t="shared" ca="1" si="16"/>
        <v>1325965.2770066892</v>
      </c>
      <c r="Y48" s="362">
        <f t="shared" ca="1" si="16"/>
        <v>1101866.2751784842</v>
      </c>
      <c r="Z48" s="362">
        <f t="shared" ca="1" si="16"/>
        <v>857681.41130544501</v>
      </c>
      <c r="AA48" s="362">
        <f t="shared" ca="1" si="16"/>
        <v>728000</v>
      </c>
      <c r="AB48" s="362">
        <f t="shared" ca="1" si="16"/>
        <v>728000</v>
      </c>
      <c r="AC48" s="362">
        <f t="shared" ca="1" si="16"/>
        <v>728000</v>
      </c>
      <c r="AD48" s="362">
        <f t="shared" ca="1" si="16"/>
        <v>728000</v>
      </c>
      <c r="AE48" s="362">
        <f t="shared" ca="1" si="16"/>
        <v>728000</v>
      </c>
      <c r="AF48" s="362">
        <f t="shared" ca="1" si="16"/>
        <v>728000</v>
      </c>
      <c r="AG48" s="362">
        <f t="shared" ca="1" si="16"/>
        <v>728000</v>
      </c>
      <c r="AH48" s="362">
        <f t="shared" ca="1" si="16"/>
        <v>728000</v>
      </c>
      <c r="AI48" s="362">
        <f t="shared" ca="1" si="16"/>
        <v>728000</v>
      </c>
      <c r="AJ48" s="362">
        <f t="shared" ref="AJ48:AZ48" ca="1" si="17">$D$13*AI$11*$C$2</f>
        <v>728000</v>
      </c>
      <c r="AK48" s="362">
        <f t="shared" ca="1" si="17"/>
        <v>728000</v>
      </c>
      <c r="AL48" s="362">
        <f t="shared" ca="1" si="17"/>
        <v>728000</v>
      </c>
      <c r="AM48" s="362">
        <f t="shared" ca="1" si="17"/>
        <v>728000</v>
      </c>
      <c r="AN48" s="362">
        <f t="shared" ca="1" si="17"/>
        <v>728000</v>
      </c>
      <c r="AO48" s="362">
        <f t="shared" ca="1" si="17"/>
        <v>728000</v>
      </c>
      <c r="AP48" s="362">
        <f t="shared" ca="1" si="17"/>
        <v>728000</v>
      </c>
      <c r="AQ48" s="362">
        <f t="shared" ca="1" si="17"/>
        <v>728000</v>
      </c>
      <c r="AR48" s="362">
        <f t="shared" ca="1" si="17"/>
        <v>728000</v>
      </c>
      <c r="AS48" s="362">
        <f t="shared" ca="1" si="17"/>
        <v>728000</v>
      </c>
      <c r="AT48" s="362">
        <f t="shared" ca="1" si="17"/>
        <v>728000</v>
      </c>
      <c r="AU48" s="362">
        <f t="shared" ca="1" si="17"/>
        <v>728000</v>
      </c>
      <c r="AV48" s="362">
        <f t="shared" ca="1" si="17"/>
        <v>728000</v>
      </c>
      <c r="AW48" s="362">
        <f t="shared" ca="1" si="17"/>
        <v>728000</v>
      </c>
      <c r="AX48" s="362">
        <f t="shared" ca="1" si="17"/>
        <v>728000</v>
      </c>
      <c r="AY48" s="362">
        <f t="shared" ca="1" si="17"/>
        <v>728000</v>
      </c>
      <c r="AZ48" s="363">
        <f t="shared" ca="1" si="17"/>
        <v>728000</v>
      </c>
    </row>
    <row r="49" spans="1:52" hidden="1" outlineLevel="1">
      <c r="A49" s="355" t="s">
        <v>153</v>
      </c>
      <c r="B49" s="201"/>
      <c r="C49" s="360"/>
      <c r="D49" s="364"/>
      <c r="E49" s="361">
        <f t="shared" ref="E49:AZ49" ca="1" si="18">$E$13*C$11*$C$2</f>
        <v>2100000</v>
      </c>
      <c r="F49" s="362">
        <f t="shared" ca="1" si="18"/>
        <v>2354221.8341257419</v>
      </c>
      <c r="G49" s="362">
        <f t="shared" ca="1" si="18"/>
        <v>2619044.0527356728</v>
      </c>
      <c r="H49" s="362">
        <f t="shared" ca="1" si="18"/>
        <v>2885496.1385750226</v>
      </c>
      <c r="I49" s="362">
        <f t="shared" ca="1" si="18"/>
        <v>3009948.3839713181</v>
      </c>
      <c r="J49" s="362">
        <f t="shared" ca="1" si="18"/>
        <v>3100590.7240896532</v>
      </c>
      <c r="K49" s="362">
        <f t="shared" ca="1" si="18"/>
        <v>3154325.4704493433</v>
      </c>
      <c r="L49" s="362">
        <f t="shared" ca="1" si="18"/>
        <v>3173650.3127943687</v>
      </c>
      <c r="M49" s="362">
        <f t="shared" ca="1" si="18"/>
        <v>3165475.7041708347</v>
      </c>
      <c r="N49" s="362">
        <f t="shared" ca="1" si="18"/>
        <v>3130689.9714593352</v>
      </c>
      <c r="O49" s="362">
        <f t="shared" ca="1" si="18"/>
        <v>3072827.8457654309</v>
      </c>
      <c r="P49" s="362">
        <f t="shared" ca="1" si="18"/>
        <v>2993742.0251780972</v>
      </c>
      <c r="Q49" s="362">
        <f t="shared" ca="1" si="18"/>
        <v>2896788.9297255594</v>
      </c>
      <c r="R49" s="362">
        <f t="shared" ca="1" si="18"/>
        <v>2786073.2441263339</v>
      </c>
      <c r="S49" s="362">
        <f t="shared" ca="1" si="18"/>
        <v>2658666.003349931</v>
      </c>
      <c r="T49" s="362">
        <f t="shared" ca="1" si="18"/>
        <v>2515329.9432795318</v>
      </c>
      <c r="U49" s="362">
        <f t="shared" ca="1" si="18"/>
        <v>2355922.3011770123</v>
      </c>
      <c r="V49" s="362">
        <f t="shared" ca="1" si="18"/>
        <v>2177683.6658194885</v>
      </c>
      <c r="W49" s="362">
        <f t="shared" ca="1" si="18"/>
        <v>1982372.343549635</v>
      </c>
      <c r="X49" s="362">
        <f t="shared" ca="1" si="18"/>
        <v>1765877.7235862666</v>
      </c>
      <c r="Y49" s="362">
        <f t="shared" ca="1" si="18"/>
        <v>1529959.9350077184</v>
      </c>
      <c r="Z49" s="362">
        <f t="shared" ca="1" si="18"/>
        <v>1271384.1636674816</v>
      </c>
      <c r="AA49" s="362">
        <f t="shared" ca="1" si="18"/>
        <v>989632.39766012877</v>
      </c>
      <c r="AB49" s="362">
        <f t="shared" ca="1" si="18"/>
        <v>840000</v>
      </c>
      <c r="AC49" s="362">
        <f t="shared" ca="1" si="18"/>
        <v>840000</v>
      </c>
      <c r="AD49" s="362">
        <f t="shared" ca="1" si="18"/>
        <v>840000</v>
      </c>
      <c r="AE49" s="362">
        <f t="shared" ca="1" si="18"/>
        <v>840000</v>
      </c>
      <c r="AF49" s="362">
        <f t="shared" ca="1" si="18"/>
        <v>840000</v>
      </c>
      <c r="AG49" s="362">
        <f t="shared" ca="1" si="18"/>
        <v>840000</v>
      </c>
      <c r="AH49" s="362">
        <f t="shared" ca="1" si="18"/>
        <v>840000</v>
      </c>
      <c r="AI49" s="362">
        <f t="shared" ca="1" si="18"/>
        <v>840000</v>
      </c>
      <c r="AJ49" s="362">
        <f t="shared" ca="1" si="18"/>
        <v>840000</v>
      </c>
      <c r="AK49" s="362">
        <f t="shared" ca="1" si="18"/>
        <v>840000</v>
      </c>
      <c r="AL49" s="362">
        <f t="shared" ca="1" si="18"/>
        <v>840000</v>
      </c>
      <c r="AM49" s="362">
        <f t="shared" ca="1" si="18"/>
        <v>840000</v>
      </c>
      <c r="AN49" s="362">
        <f t="shared" ca="1" si="18"/>
        <v>840000</v>
      </c>
      <c r="AO49" s="362">
        <f t="shared" ca="1" si="18"/>
        <v>840000</v>
      </c>
      <c r="AP49" s="362">
        <f t="shared" ca="1" si="18"/>
        <v>840000</v>
      </c>
      <c r="AQ49" s="362">
        <f t="shared" ca="1" si="18"/>
        <v>840000</v>
      </c>
      <c r="AR49" s="362">
        <f t="shared" ca="1" si="18"/>
        <v>840000</v>
      </c>
      <c r="AS49" s="362">
        <f t="shared" ca="1" si="18"/>
        <v>840000</v>
      </c>
      <c r="AT49" s="362">
        <f t="shared" ca="1" si="18"/>
        <v>840000</v>
      </c>
      <c r="AU49" s="362">
        <f t="shared" ca="1" si="18"/>
        <v>840000</v>
      </c>
      <c r="AV49" s="362">
        <f t="shared" ca="1" si="18"/>
        <v>840000</v>
      </c>
      <c r="AW49" s="362">
        <f t="shared" ca="1" si="18"/>
        <v>840000</v>
      </c>
      <c r="AX49" s="362">
        <f t="shared" ca="1" si="18"/>
        <v>840000</v>
      </c>
      <c r="AY49" s="362">
        <f t="shared" ca="1" si="18"/>
        <v>840000</v>
      </c>
      <c r="AZ49" s="363">
        <f t="shared" ca="1" si="18"/>
        <v>840000</v>
      </c>
    </row>
    <row r="50" spans="1:52" hidden="1" outlineLevel="1">
      <c r="A50" s="359" t="s">
        <v>154</v>
      </c>
      <c r="B50" s="354"/>
      <c r="C50" s="360"/>
      <c r="D50" s="364"/>
      <c r="E50" s="364"/>
      <c r="F50" s="361">
        <f t="shared" ref="F50:AZ50" ca="1" si="19">$F$13*C$11*$C$2</f>
        <v>2240000</v>
      </c>
      <c r="G50" s="362">
        <f t="shared" ca="1" si="19"/>
        <v>2511169.9564007916</v>
      </c>
      <c r="H50" s="362">
        <f t="shared" ca="1" si="19"/>
        <v>2793646.9895847174</v>
      </c>
      <c r="I50" s="362">
        <f t="shared" ca="1" si="19"/>
        <v>3077862.5478133578</v>
      </c>
      <c r="J50" s="362">
        <f t="shared" ca="1" si="19"/>
        <v>3210611.6095694061</v>
      </c>
      <c r="K50" s="362">
        <f t="shared" ca="1" si="19"/>
        <v>3307296.7723622969</v>
      </c>
      <c r="L50" s="362">
        <f t="shared" ca="1" si="19"/>
        <v>3364613.8351459666</v>
      </c>
      <c r="M50" s="362">
        <f t="shared" ca="1" si="19"/>
        <v>3385227.0003139935</v>
      </c>
      <c r="N50" s="362">
        <f t="shared" ca="1" si="19"/>
        <v>3376507.4177822242</v>
      </c>
      <c r="O50" s="362">
        <f t="shared" ca="1" si="19"/>
        <v>3339402.6362232906</v>
      </c>
      <c r="P50" s="362">
        <f t="shared" ca="1" si="19"/>
        <v>3277683.0354831261</v>
      </c>
      <c r="Q50" s="362">
        <f t="shared" ca="1" si="19"/>
        <v>3193324.8268566369</v>
      </c>
      <c r="R50" s="362">
        <f t="shared" ca="1" si="19"/>
        <v>3089908.1917072637</v>
      </c>
      <c r="S50" s="362">
        <f t="shared" ca="1" si="19"/>
        <v>2971811.4604014223</v>
      </c>
      <c r="T50" s="362">
        <f t="shared" ca="1" si="19"/>
        <v>2835910.4035732597</v>
      </c>
      <c r="U50" s="362">
        <f t="shared" ca="1" si="19"/>
        <v>2683018.6061648345</v>
      </c>
      <c r="V50" s="362">
        <f t="shared" ca="1" si="19"/>
        <v>2512983.7879221458</v>
      </c>
      <c r="W50" s="362">
        <f t="shared" ca="1" si="19"/>
        <v>2322862.5768741216</v>
      </c>
      <c r="X50" s="362">
        <f t="shared" ca="1" si="19"/>
        <v>2114530.4997862773</v>
      </c>
      <c r="Y50" s="362">
        <f t="shared" ca="1" si="19"/>
        <v>1883602.9051586846</v>
      </c>
      <c r="Z50" s="362">
        <f t="shared" ca="1" si="19"/>
        <v>1631957.2640082326</v>
      </c>
      <c r="AA50" s="362">
        <f t="shared" ca="1" si="19"/>
        <v>1356143.1079119805</v>
      </c>
      <c r="AB50" s="362">
        <f t="shared" ca="1" si="19"/>
        <v>1055607.8908374708</v>
      </c>
      <c r="AC50" s="362">
        <f t="shared" ca="1" si="19"/>
        <v>896000</v>
      </c>
      <c r="AD50" s="362">
        <f t="shared" ca="1" si="19"/>
        <v>896000</v>
      </c>
      <c r="AE50" s="362">
        <f t="shared" ca="1" si="19"/>
        <v>896000</v>
      </c>
      <c r="AF50" s="362">
        <f t="shared" ca="1" si="19"/>
        <v>896000</v>
      </c>
      <c r="AG50" s="362">
        <f t="shared" ca="1" si="19"/>
        <v>896000</v>
      </c>
      <c r="AH50" s="362">
        <f t="shared" ca="1" si="19"/>
        <v>896000</v>
      </c>
      <c r="AI50" s="362">
        <f t="shared" ca="1" si="19"/>
        <v>896000</v>
      </c>
      <c r="AJ50" s="362">
        <f t="shared" ca="1" si="19"/>
        <v>896000</v>
      </c>
      <c r="AK50" s="362">
        <f t="shared" ca="1" si="19"/>
        <v>896000</v>
      </c>
      <c r="AL50" s="362">
        <f t="shared" ca="1" si="19"/>
        <v>896000</v>
      </c>
      <c r="AM50" s="362">
        <f t="shared" ca="1" si="19"/>
        <v>896000</v>
      </c>
      <c r="AN50" s="362">
        <f t="shared" ca="1" si="19"/>
        <v>896000</v>
      </c>
      <c r="AO50" s="362">
        <f t="shared" ca="1" si="19"/>
        <v>896000</v>
      </c>
      <c r="AP50" s="362">
        <f t="shared" ca="1" si="19"/>
        <v>896000</v>
      </c>
      <c r="AQ50" s="362">
        <f t="shared" ca="1" si="19"/>
        <v>896000</v>
      </c>
      <c r="AR50" s="362">
        <f t="shared" ca="1" si="19"/>
        <v>896000</v>
      </c>
      <c r="AS50" s="362">
        <f t="shared" ca="1" si="19"/>
        <v>896000</v>
      </c>
      <c r="AT50" s="362">
        <f t="shared" ca="1" si="19"/>
        <v>896000</v>
      </c>
      <c r="AU50" s="362">
        <f t="shared" ca="1" si="19"/>
        <v>896000</v>
      </c>
      <c r="AV50" s="362">
        <f t="shared" ca="1" si="19"/>
        <v>896000</v>
      </c>
      <c r="AW50" s="362">
        <f t="shared" ca="1" si="19"/>
        <v>896000</v>
      </c>
      <c r="AX50" s="362">
        <f t="shared" ca="1" si="19"/>
        <v>896000</v>
      </c>
      <c r="AY50" s="362">
        <f t="shared" ca="1" si="19"/>
        <v>896000</v>
      </c>
      <c r="AZ50" s="363">
        <f t="shared" ca="1" si="19"/>
        <v>896000</v>
      </c>
    </row>
    <row r="51" spans="1:52" hidden="1" outlineLevel="1">
      <c r="A51" s="355" t="s">
        <v>155</v>
      </c>
      <c r="B51" s="201"/>
      <c r="C51" s="360"/>
      <c r="D51" s="364"/>
      <c r="E51" s="364"/>
      <c r="F51" s="364"/>
      <c r="G51" s="361">
        <f t="shared" ref="G51:AZ51" ca="1" si="20">$G$13*C$11*$C$2</f>
        <v>2100000</v>
      </c>
      <c r="H51" s="362">
        <f t="shared" ca="1" si="20"/>
        <v>2354221.8341257419</v>
      </c>
      <c r="I51" s="362">
        <f t="shared" ca="1" si="20"/>
        <v>2619044.0527356728</v>
      </c>
      <c r="J51" s="362">
        <f t="shared" ca="1" si="20"/>
        <v>2885496.1385750226</v>
      </c>
      <c r="K51" s="362">
        <f t="shared" ca="1" si="20"/>
        <v>3009948.3839713181</v>
      </c>
      <c r="L51" s="362">
        <f t="shared" ca="1" si="20"/>
        <v>3100590.7240896532</v>
      </c>
      <c r="M51" s="362">
        <f t="shared" ca="1" si="20"/>
        <v>3154325.4704493433</v>
      </c>
      <c r="N51" s="362">
        <f t="shared" ca="1" si="20"/>
        <v>3173650.3127943687</v>
      </c>
      <c r="O51" s="362">
        <f t="shared" ca="1" si="20"/>
        <v>3165475.7041708347</v>
      </c>
      <c r="P51" s="362">
        <f t="shared" ca="1" si="20"/>
        <v>3130689.9714593352</v>
      </c>
      <c r="Q51" s="362">
        <f t="shared" ca="1" si="20"/>
        <v>3072827.8457654309</v>
      </c>
      <c r="R51" s="362">
        <f t="shared" ca="1" si="20"/>
        <v>2993742.0251780972</v>
      </c>
      <c r="S51" s="362">
        <f t="shared" ca="1" si="20"/>
        <v>2896788.9297255594</v>
      </c>
      <c r="T51" s="362">
        <f t="shared" ca="1" si="20"/>
        <v>2786073.2441263339</v>
      </c>
      <c r="U51" s="362">
        <f t="shared" ca="1" si="20"/>
        <v>2658666.003349931</v>
      </c>
      <c r="V51" s="362">
        <f t="shared" ca="1" si="20"/>
        <v>2515329.9432795318</v>
      </c>
      <c r="W51" s="362">
        <f t="shared" ca="1" si="20"/>
        <v>2355922.3011770123</v>
      </c>
      <c r="X51" s="362">
        <f t="shared" ca="1" si="20"/>
        <v>2177683.6658194885</v>
      </c>
      <c r="Y51" s="362">
        <f t="shared" ca="1" si="20"/>
        <v>1982372.343549635</v>
      </c>
      <c r="Z51" s="362">
        <f t="shared" ca="1" si="20"/>
        <v>1765877.7235862666</v>
      </c>
      <c r="AA51" s="362">
        <f t="shared" ca="1" si="20"/>
        <v>1529959.9350077184</v>
      </c>
      <c r="AB51" s="362">
        <f t="shared" ca="1" si="20"/>
        <v>1271384.1636674816</v>
      </c>
      <c r="AC51" s="362">
        <f t="shared" ca="1" si="20"/>
        <v>989632.39766012877</v>
      </c>
      <c r="AD51" s="362">
        <f t="shared" ca="1" si="20"/>
        <v>840000</v>
      </c>
      <c r="AE51" s="362">
        <f t="shared" ca="1" si="20"/>
        <v>840000</v>
      </c>
      <c r="AF51" s="362">
        <f t="shared" ca="1" si="20"/>
        <v>840000</v>
      </c>
      <c r="AG51" s="362">
        <f t="shared" ca="1" si="20"/>
        <v>840000</v>
      </c>
      <c r="AH51" s="362">
        <f t="shared" ca="1" si="20"/>
        <v>840000</v>
      </c>
      <c r="AI51" s="362">
        <f t="shared" ca="1" si="20"/>
        <v>840000</v>
      </c>
      <c r="AJ51" s="362">
        <f t="shared" ca="1" si="20"/>
        <v>840000</v>
      </c>
      <c r="AK51" s="362">
        <f t="shared" ca="1" si="20"/>
        <v>840000</v>
      </c>
      <c r="AL51" s="362">
        <f t="shared" ca="1" si="20"/>
        <v>840000</v>
      </c>
      <c r="AM51" s="362">
        <f t="shared" ca="1" si="20"/>
        <v>840000</v>
      </c>
      <c r="AN51" s="362">
        <f t="shared" ca="1" si="20"/>
        <v>840000</v>
      </c>
      <c r="AO51" s="362">
        <f t="shared" ca="1" si="20"/>
        <v>840000</v>
      </c>
      <c r="AP51" s="362">
        <f t="shared" ca="1" si="20"/>
        <v>840000</v>
      </c>
      <c r="AQ51" s="362">
        <f t="shared" ca="1" si="20"/>
        <v>840000</v>
      </c>
      <c r="AR51" s="362">
        <f t="shared" ca="1" si="20"/>
        <v>840000</v>
      </c>
      <c r="AS51" s="362">
        <f t="shared" ca="1" si="20"/>
        <v>840000</v>
      </c>
      <c r="AT51" s="362">
        <f t="shared" ca="1" si="20"/>
        <v>840000</v>
      </c>
      <c r="AU51" s="362">
        <f t="shared" ca="1" si="20"/>
        <v>840000</v>
      </c>
      <c r="AV51" s="362">
        <f t="shared" ca="1" si="20"/>
        <v>840000</v>
      </c>
      <c r="AW51" s="362">
        <f t="shared" ca="1" si="20"/>
        <v>840000</v>
      </c>
      <c r="AX51" s="362">
        <f t="shared" ca="1" si="20"/>
        <v>840000</v>
      </c>
      <c r="AY51" s="362">
        <f t="shared" ca="1" si="20"/>
        <v>840000</v>
      </c>
      <c r="AZ51" s="363">
        <f t="shared" ca="1" si="20"/>
        <v>840000</v>
      </c>
    </row>
    <row r="52" spans="1:52" hidden="1" outlineLevel="1">
      <c r="A52" s="359" t="s">
        <v>156</v>
      </c>
      <c r="B52" s="354"/>
      <c r="C52" s="360"/>
      <c r="D52" s="364"/>
      <c r="E52" s="364"/>
      <c r="F52" s="364"/>
      <c r="G52" s="364"/>
      <c r="H52" s="361">
        <f t="shared" ref="H52:AZ52" ca="1" si="21">$H$13*C$11*$C$2</f>
        <v>1820000</v>
      </c>
      <c r="I52" s="362">
        <f t="shared" ca="1" si="21"/>
        <v>2040325.5895756432</v>
      </c>
      <c r="J52" s="362">
        <f t="shared" ca="1" si="21"/>
        <v>2269838.1790375831</v>
      </c>
      <c r="K52" s="362">
        <f t="shared" ca="1" si="21"/>
        <v>2500763.3200983531</v>
      </c>
      <c r="L52" s="362">
        <f t="shared" ca="1" si="21"/>
        <v>2608621.9327751426</v>
      </c>
      <c r="M52" s="362">
        <f t="shared" ca="1" si="21"/>
        <v>2687178.6275443663</v>
      </c>
      <c r="N52" s="362">
        <f t="shared" ca="1" si="21"/>
        <v>2733748.7410560977</v>
      </c>
      <c r="O52" s="362">
        <f t="shared" ca="1" si="21"/>
        <v>2750496.93775512</v>
      </c>
      <c r="P52" s="362">
        <f t="shared" ca="1" si="21"/>
        <v>2743412.2769480571</v>
      </c>
      <c r="Q52" s="362">
        <f t="shared" ca="1" si="21"/>
        <v>2713264.6419314239</v>
      </c>
      <c r="R52" s="362">
        <f t="shared" ca="1" si="21"/>
        <v>2663117.4663300398</v>
      </c>
      <c r="S52" s="362">
        <f t="shared" ca="1" si="21"/>
        <v>2594576.4218210173</v>
      </c>
      <c r="T52" s="362">
        <f t="shared" ca="1" si="21"/>
        <v>2510550.4057621518</v>
      </c>
      <c r="U52" s="362">
        <f t="shared" ca="1" si="21"/>
        <v>2414596.8115761555</v>
      </c>
      <c r="V52" s="362">
        <f t="shared" ca="1" si="21"/>
        <v>2304177.2029032735</v>
      </c>
      <c r="W52" s="362">
        <f t="shared" ca="1" si="21"/>
        <v>2179952.6175089278</v>
      </c>
      <c r="X52" s="362">
        <f t="shared" ca="1" si="21"/>
        <v>2041799.3276867436</v>
      </c>
      <c r="Y52" s="362">
        <f t="shared" ca="1" si="21"/>
        <v>1887325.8437102234</v>
      </c>
      <c r="Z52" s="362">
        <f t="shared" ca="1" si="21"/>
        <v>1718056.0310763502</v>
      </c>
      <c r="AA52" s="362">
        <f t="shared" ca="1" si="21"/>
        <v>1530427.3604414312</v>
      </c>
      <c r="AB52" s="362">
        <f t="shared" ca="1" si="21"/>
        <v>1325965.2770066892</v>
      </c>
      <c r="AC52" s="362">
        <f t="shared" ca="1" si="21"/>
        <v>1101866.2751784842</v>
      </c>
      <c r="AD52" s="362">
        <f t="shared" ca="1" si="21"/>
        <v>857681.41130544501</v>
      </c>
      <c r="AE52" s="362">
        <f t="shared" ca="1" si="21"/>
        <v>728000</v>
      </c>
      <c r="AF52" s="362">
        <f t="shared" ca="1" si="21"/>
        <v>728000</v>
      </c>
      <c r="AG52" s="362">
        <f t="shared" ca="1" si="21"/>
        <v>728000</v>
      </c>
      <c r="AH52" s="362">
        <f t="shared" ca="1" si="21"/>
        <v>728000</v>
      </c>
      <c r="AI52" s="362">
        <f t="shared" ca="1" si="21"/>
        <v>728000</v>
      </c>
      <c r="AJ52" s="362">
        <f t="shared" ca="1" si="21"/>
        <v>728000</v>
      </c>
      <c r="AK52" s="362">
        <f t="shared" ca="1" si="21"/>
        <v>728000</v>
      </c>
      <c r="AL52" s="362">
        <f t="shared" ca="1" si="21"/>
        <v>728000</v>
      </c>
      <c r="AM52" s="362">
        <f t="shared" ca="1" si="21"/>
        <v>728000</v>
      </c>
      <c r="AN52" s="362">
        <f t="shared" ca="1" si="21"/>
        <v>728000</v>
      </c>
      <c r="AO52" s="362">
        <f t="shared" ca="1" si="21"/>
        <v>728000</v>
      </c>
      <c r="AP52" s="362">
        <f t="shared" ca="1" si="21"/>
        <v>728000</v>
      </c>
      <c r="AQ52" s="362">
        <f t="shared" ca="1" si="21"/>
        <v>728000</v>
      </c>
      <c r="AR52" s="362">
        <f t="shared" ca="1" si="21"/>
        <v>728000</v>
      </c>
      <c r="AS52" s="362">
        <f t="shared" ca="1" si="21"/>
        <v>728000</v>
      </c>
      <c r="AT52" s="362">
        <f t="shared" ca="1" si="21"/>
        <v>728000</v>
      </c>
      <c r="AU52" s="362">
        <f t="shared" ca="1" si="21"/>
        <v>728000</v>
      </c>
      <c r="AV52" s="362">
        <f t="shared" ca="1" si="21"/>
        <v>728000</v>
      </c>
      <c r="AW52" s="362">
        <f t="shared" ca="1" si="21"/>
        <v>728000</v>
      </c>
      <c r="AX52" s="362">
        <f t="shared" ca="1" si="21"/>
        <v>728000</v>
      </c>
      <c r="AY52" s="362">
        <f t="shared" ca="1" si="21"/>
        <v>728000</v>
      </c>
      <c r="AZ52" s="363">
        <f t="shared" ca="1" si="21"/>
        <v>728000</v>
      </c>
    </row>
    <row r="53" spans="1:52" hidden="1" outlineLevel="1">
      <c r="A53" s="355" t="s">
        <v>157</v>
      </c>
      <c r="B53" s="201"/>
      <c r="C53" s="360"/>
      <c r="D53" s="364"/>
      <c r="E53" s="364"/>
      <c r="F53" s="364"/>
      <c r="G53" s="364"/>
      <c r="H53" s="364"/>
      <c r="I53" s="361">
        <f t="shared" ref="I53:AZ53" ca="1" si="22">$I$13*C$11*$C$2</f>
        <v>1260000</v>
      </c>
      <c r="J53" s="362">
        <f t="shared" ca="1" si="22"/>
        <v>1412533.1004754454</v>
      </c>
      <c r="K53" s="362">
        <f t="shared" ca="1" si="22"/>
        <v>1571426.4316414036</v>
      </c>
      <c r="L53" s="362">
        <f t="shared" ca="1" si="22"/>
        <v>1731297.6831450136</v>
      </c>
      <c r="M53" s="362">
        <f t="shared" ca="1" si="22"/>
        <v>1805969.0303827911</v>
      </c>
      <c r="N53" s="362">
        <f t="shared" ca="1" si="22"/>
        <v>1860354.4344537917</v>
      </c>
      <c r="O53" s="362">
        <f t="shared" ca="1" si="22"/>
        <v>1892595.2822696061</v>
      </c>
      <c r="P53" s="362">
        <f t="shared" ca="1" si="22"/>
        <v>1904190.1876766214</v>
      </c>
      <c r="Q53" s="362">
        <f t="shared" ca="1" si="22"/>
        <v>1899285.4225025009</v>
      </c>
      <c r="R53" s="362">
        <f t="shared" ca="1" si="22"/>
        <v>1878413.9828756009</v>
      </c>
      <c r="S53" s="362">
        <f t="shared" ca="1" si="22"/>
        <v>1843696.7074592581</v>
      </c>
      <c r="T53" s="362">
        <f t="shared" ca="1" si="22"/>
        <v>1796245.2151068584</v>
      </c>
      <c r="U53" s="362">
        <f t="shared" ca="1" si="22"/>
        <v>1738073.3578353357</v>
      </c>
      <c r="V53" s="362">
        <f t="shared" ca="1" si="22"/>
        <v>1671643.9464758001</v>
      </c>
      <c r="W53" s="362">
        <f t="shared" ca="1" si="22"/>
        <v>1595199.6020099584</v>
      </c>
      <c r="X53" s="362">
        <f t="shared" ca="1" si="22"/>
        <v>1509197.9659677192</v>
      </c>
      <c r="Y53" s="362">
        <f t="shared" ca="1" si="22"/>
        <v>1413553.3807062071</v>
      </c>
      <c r="Z53" s="362">
        <f t="shared" ca="1" si="22"/>
        <v>1306610.1994916932</v>
      </c>
      <c r="AA53" s="362">
        <f t="shared" ca="1" si="22"/>
        <v>1189423.4061297809</v>
      </c>
      <c r="AB53" s="362">
        <f t="shared" ca="1" si="22"/>
        <v>1059526.63415176</v>
      </c>
      <c r="AC53" s="362">
        <f t="shared" ca="1" si="22"/>
        <v>917975.96100463101</v>
      </c>
      <c r="AD53" s="362">
        <f t="shared" ca="1" si="22"/>
        <v>762830.49820048898</v>
      </c>
      <c r="AE53" s="362">
        <f t="shared" ca="1" si="22"/>
        <v>593779.43859607726</v>
      </c>
      <c r="AF53" s="362">
        <f t="shared" ca="1" si="22"/>
        <v>504000</v>
      </c>
      <c r="AG53" s="362">
        <f t="shared" ca="1" si="22"/>
        <v>504000</v>
      </c>
      <c r="AH53" s="362">
        <f t="shared" ca="1" si="22"/>
        <v>504000</v>
      </c>
      <c r="AI53" s="362">
        <f t="shared" ca="1" si="22"/>
        <v>504000</v>
      </c>
      <c r="AJ53" s="362">
        <f t="shared" ca="1" si="22"/>
        <v>504000</v>
      </c>
      <c r="AK53" s="362">
        <f t="shared" ca="1" si="22"/>
        <v>504000</v>
      </c>
      <c r="AL53" s="362">
        <f t="shared" ca="1" si="22"/>
        <v>504000</v>
      </c>
      <c r="AM53" s="362">
        <f t="shared" ca="1" si="22"/>
        <v>504000</v>
      </c>
      <c r="AN53" s="362">
        <f t="shared" ca="1" si="22"/>
        <v>504000</v>
      </c>
      <c r="AO53" s="362">
        <f t="shared" ca="1" si="22"/>
        <v>504000</v>
      </c>
      <c r="AP53" s="362">
        <f t="shared" ca="1" si="22"/>
        <v>504000</v>
      </c>
      <c r="AQ53" s="362">
        <f t="shared" ca="1" si="22"/>
        <v>504000</v>
      </c>
      <c r="AR53" s="362">
        <f t="shared" ca="1" si="22"/>
        <v>504000</v>
      </c>
      <c r="AS53" s="362">
        <f t="shared" ca="1" si="22"/>
        <v>504000</v>
      </c>
      <c r="AT53" s="362">
        <f t="shared" ca="1" si="22"/>
        <v>504000</v>
      </c>
      <c r="AU53" s="362">
        <f t="shared" ca="1" si="22"/>
        <v>504000</v>
      </c>
      <c r="AV53" s="362">
        <f t="shared" ca="1" si="22"/>
        <v>504000</v>
      </c>
      <c r="AW53" s="362">
        <f t="shared" ca="1" si="22"/>
        <v>504000</v>
      </c>
      <c r="AX53" s="362">
        <f t="shared" ca="1" si="22"/>
        <v>504000</v>
      </c>
      <c r="AY53" s="362">
        <f t="shared" ca="1" si="22"/>
        <v>504000</v>
      </c>
      <c r="AZ53" s="363">
        <f t="shared" ca="1" si="22"/>
        <v>504000</v>
      </c>
    </row>
    <row r="54" spans="1:52" hidden="1" outlineLevel="1">
      <c r="A54" s="359" t="s">
        <v>158</v>
      </c>
      <c r="B54" s="354"/>
      <c r="C54" s="360"/>
      <c r="D54" s="364"/>
      <c r="E54" s="364"/>
      <c r="F54" s="364"/>
      <c r="G54" s="364"/>
      <c r="H54" s="364"/>
      <c r="I54" s="364"/>
      <c r="J54" s="361">
        <f t="shared" ref="J54:AZ54" ca="1" si="23">$J$13*C$11*$C$2</f>
        <v>1120000</v>
      </c>
      <c r="K54" s="362">
        <f t="shared" ca="1" si="23"/>
        <v>1255584.9782003958</v>
      </c>
      <c r="L54" s="362">
        <f t="shared" ca="1" si="23"/>
        <v>1396823.4947923587</v>
      </c>
      <c r="M54" s="362">
        <f t="shared" ca="1" si="23"/>
        <v>1538931.2739066789</v>
      </c>
      <c r="N54" s="362">
        <f t="shared" ca="1" si="23"/>
        <v>1605305.8047847031</v>
      </c>
      <c r="O54" s="362">
        <f t="shared" ca="1" si="23"/>
        <v>1653648.3861811485</v>
      </c>
      <c r="P54" s="362">
        <f t="shared" ca="1" si="23"/>
        <v>1682306.9175729833</v>
      </c>
      <c r="Q54" s="362">
        <f t="shared" ca="1" si="23"/>
        <v>1692613.5001569968</v>
      </c>
      <c r="R54" s="362">
        <f t="shared" ca="1" si="23"/>
        <v>1688253.7088911121</v>
      </c>
      <c r="S54" s="362">
        <f t="shared" ca="1" si="23"/>
        <v>1669701.3181116453</v>
      </c>
      <c r="T54" s="362">
        <f t="shared" ca="1" si="23"/>
        <v>1638841.517741563</v>
      </c>
      <c r="U54" s="362">
        <f t="shared" ca="1" si="23"/>
        <v>1596662.4134283185</v>
      </c>
      <c r="V54" s="362">
        <f t="shared" ca="1" si="23"/>
        <v>1544954.0958536319</v>
      </c>
      <c r="W54" s="362">
        <f t="shared" ca="1" si="23"/>
        <v>1485905.7302007112</v>
      </c>
      <c r="X54" s="362">
        <f t="shared" ca="1" si="23"/>
        <v>1417955.2017866299</v>
      </c>
      <c r="Y54" s="362">
        <f t="shared" ca="1" si="23"/>
        <v>1341509.3030824172</v>
      </c>
      <c r="Z54" s="362">
        <f t="shared" ca="1" si="23"/>
        <v>1256491.8939610729</v>
      </c>
      <c r="AA54" s="362">
        <f t="shared" ca="1" si="23"/>
        <v>1161431.2884370608</v>
      </c>
      <c r="AB54" s="362">
        <f t="shared" ca="1" si="23"/>
        <v>1057265.2498931387</v>
      </c>
      <c r="AC54" s="362">
        <f t="shared" ca="1" si="23"/>
        <v>941801.45257934229</v>
      </c>
      <c r="AD54" s="362">
        <f t="shared" ca="1" si="23"/>
        <v>815978.63200411631</v>
      </c>
      <c r="AE54" s="362">
        <f t="shared" ca="1" si="23"/>
        <v>678071.55395599024</v>
      </c>
      <c r="AF54" s="362">
        <f t="shared" ca="1" si="23"/>
        <v>527803.94541873538</v>
      </c>
      <c r="AG54" s="362">
        <f t="shared" ca="1" si="23"/>
        <v>448000</v>
      </c>
      <c r="AH54" s="362">
        <f t="shared" ca="1" si="23"/>
        <v>448000</v>
      </c>
      <c r="AI54" s="362">
        <f t="shared" ca="1" si="23"/>
        <v>448000</v>
      </c>
      <c r="AJ54" s="362">
        <f t="shared" ca="1" si="23"/>
        <v>448000</v>
      </c>
      <c r="AK54" s="362">
        <f t="shared" ca="1" si="23"/>
        <v>448000</v>
      </c>
      <c r="AL54" s="362">
        <f t="shared" ca="1" si="23"/>
        <v>448000</v>
      </c>
      <c r="AM54" s="362">
        <f t="shared" ca="1" si="23"/>
        <v>448000</v>
      </c>
      <c r="AN54" s="362">
        <f t="shared" ca="1" si="23"/>
        <v>448000</v>
      </c>
      <c r="AO54" s="362">
        <f t="shared" ca="1" si="23"/>
        <v>448000</v>
      </c>
      <c r="AP54" s="362">
        <f t="shared" ca="1" si="23"/>
        <v>448000</v>
      </c>
      <c r="AQ54" s="362">
        <f t="shared" ca="1" si="23"/>
        <v>448000</v>
      </c>
      <c r="AR54" s="362">
        <f t="shared" ca="1" si="23"/>
        <v>448000</v>
      </c>
      <c r="AS54" s="362">
        <f t="shared" ca="1" si="23"/>
        <v>448000</v>
      </c>
      <c r="AT54" s="362">
        <f t="shared" ca="1" si="23"/>
        <v>448000</v>
      </c>
      <c r="AU54" s="362">
        <f t="shared" ca="1" si="23"/>
        <v>448000</v>
      </c>
      <c r="AV54" s="362">
        <f t="shared" ca="1" si="23"/>
        <v>448000</v>
      </c>
      <c r="AW54" s="362">
        <f t="shared" ca="1" si="23"/>
        <v>448000</v>
      </c>
      <c r="AX54" s="362">
        <f t="shared" ca="1" si="23"/>
        <v>448000</v>
      </c>
      <c r="AY54" s="362">
        <f t="shared" ca="1" si="23"/>
        <v>448000</v>
      </c>
      <c r="AZ54" s="363">
        <f t="shared" ca="1" si="23"/>
        <v>448000</v>
      </c>
    </row>
    <row r="55" spans="1:52" hidden="1" outlineLevel="1">
      <c r="A55" s="355" t="s">
        <v>159</v>
      </c>
      <c r="B55" s="201"/>
      <c r="C55" s="360"/>
      <c r="D55" s="364"/>
      <c r="E55" s="364"/>
      <c r="F55" s="364"/>
      <c r="G55" s="364"/>
      <c r="H55" s="364"/>
      <c r="I55" s="364"/>
      <c r="J55" s="364"/>
      <c r="K55" s="361">
        <f t="shared" ref="K55:AZ55" ca="1" si="24">$K$13*C$11*$C$2</f>
        <v>420000</v>
      </c>
      <c r="L55" s="362">
        <f t="shared" ca="1" si="24"/>
        <v>470844.36682514841</v>
      </c>
      <c r="M55" s="362">
        <f t="shared" ca="1" si="24"/>
        <v>523808.81054713449</v>
      </c>
      <c r="N55" s="362">
        <f t="shared" ca="1" si="24"/>
        <v>577099.22771500458</v>
      </c>
      <c r="O55" s="362">
        <f t="shared" ca="1" si="24"/>
        <v>601989.67679426377</v>
      </c>
      <c r="P55" s="362">
        <f t="shared" ca="1" si="24"/>
        <v>620118.14481793065</v>
      </c>
      <c r="Q55" s="362">
        <f t="shared" ca="1" si="24"/>
        <v>630865.09408986871</v>
      </c>
      <c r="R55" s="362">
        <f t="shared" ca="1" si="24"/>
        <v>634730.06255887379</v>
      </c>
      <c r="S55" s="362">
        <f t="shared" ca="1" si="24"/>
        <v>633095.14083416702</v>
      </c>
      <c r="T55" s="362">
        <f t="shared" ca="1" si="24"/>
        <v>626137.99429186701</v>
      </c>
      <c r="U55" s="362">
        <f t="shared" ca="1" si="24"/>
        <v>614565.56915308617</v>
      </c>
      <c r="V55" s="362">
        <f t="shared" ca="1" si="24"/>
        <v>598748.40503561939</v>
      </c>
      <c r="W55" s="362">
        <f t="shared" ca="1" si="24"/>
        <v>579357.785945112</v>
      </c>
      <c r="X55" s="362">
        <f t="shared" ca="1" si="24"/>
        <v>557214.64882526675</v>
      </c>
      <c r="Y55" s="362">
        <f t="shared" ca="1" si="24"/>
        <v>531733.2006699862</v>
      </c>
      <c r="Z55" s="362">
        <f t="shared" ca="1" si="24"/>
        <v>503065.98865590646</v>
      </c>
      <c r="AA55" s="362">
        <f t="shared" ca="1" si="24"/>
        <v>471184.4602354024</v>
      </c>
      <c r="AB55" s="362">
        <f t="shared" ca="1" si="24"/>
        <v>435536.7331638977</v>
      </c>
      <c r="AC55" s="362">
        <f t="shared" ca="1" si="24"/>
        <v>396474.46870992699</v>
      </c>
      <c r="AD55" s="362">
        <f t="shared" ca="1" si="24"/>
        <v>353175.5447172533</v>
      </c>
      <c r="AE55" s="362">
        <f t="shared" ca="1" si="24"/>
        <v>305991.98700154363</v>
      </c>
      <c r="AF55" s="362">
        <f t="shared" ca="1" si="24"/>
        <v>254276.83273349635</v>
      </c>
      <c r="AG55" s="362">
        <f t="shared" ca="1" si="24"/>
        <v>197926.47953202575</v>
      </c>
      <c r="AH55" s="362">
        <f t="shared" ca="1" si="24"/>
        <v>168000</v>
      </c>
      <c r="AI55" s="362">
        <f t="shared" ca="1" si="24"/>
        <v>168000</v>
      </c>
      <c r="AJ55" s="362">
        <f t="shared" ca="1" si="24"/>
        <v>168000</v>
      </c>
      <c r="AK55" s="362">
        <f t="shared" ca="1" si="24"/>
        <v>168000</v>
      </c>
      <c r="AL55" s="362">
        <f t="shared" ca="1" si="24"/>
        <v>168000</v>
      </c>
      <c r="AM55" s="362">
        <f t="shared" ca="1" si="24"/>
        <v>168000</v>
      </c>
      <c r="AN55" s="362">
        <f t="shared" ca="1" si="24"/>
        <v>168000</v>
      </c>
      <c r="AO55" s="362">
        <f t="shared" ca="1" si="24"/>
        <v>168000</v>
      </c>
      <c r="AP55" s="362">
        <f t="shared" ca="1" si="24"/>
        <v>168000</v>
      </c>
      <c r="AQ55" s="362">
        <f t="shared" ca="1" si="24"/>
        <v>168000</v>
      </c>
      <c r="AR55" s="362">
        <f t="shared" ca="1" si="24"/>
        <v>168000</v>
      </c>
      <c r="AS55" s="362">
        <f t="shared" ca="1" si="24"/>
        <v>168000</v>
      </c>
      <c r="AT55" s="362">
        <f t="shared" ca="1" si="24"/>
        <v>168000</v>
      </c>
      <c r="AU55" s="362">
        <f t="shared" ca="1" si="24"/>
        <v>168000</v>
      </c>
      <c r="AV55" s="362">
        <f t="shared" ca="1" si="24"/>
        <v>168000</v>
      </c>
      <c r="AW55" s="362">
        <f t="shared" ca="1" si="24"/>
        <v>168000</v>
      </c>
      <c r="AX55" s="362">
        <f t="shared" ca="1" si="24"/>
        <v>168000</v>
      </c>
      <c r="AY55" s="362">
        <f t="shared" ca="1" si="24"/>
        <v>168000</v>
      </c>
      <c r="AZ55" s="363">
        <f t="shared" ca="1" si="24"/>
        <v>168000</v>
      </c>
    </row>
    <row r="56" spans="1:52" hidden="1" outlineLevel="1">
      <c r="A56" s="359" t="s">
        <v>160</v>
      </c>
      <c r="B56" s="354"/>
      <c r="C56" s="365"/>
      <c r="D56" s="366"/>
      <c r="E56" s="366"/>
      <c r="F56" s="366"/>
      <c r="G56" s="366"/>
      <c r="H56" s="366"/>
      <c r="I56" s="366"/>
      <c r="J56" s="366"/>
      <c r="K56" s="366"/>
      <c r="L56" s="367">
        <f t="shared" ref="L56:AZ56" ca="1" si="25">$L$13*C$11*$C$2</f>
        <v>0</v>
      </c>
      <c r="M56" s="368">
        <f t="shared" ca="1" si="25"/>
        <v>0</v>
      </c>
      <c r="N56" s="368">
        <f t="shared" ca="1" si="25"/>
        <v>0</v>
      </c>
      <c r="O56" s="368">
        <f t="shared" ca="1" si="25"/>
        <v>0</v>
      </c>
      <c r="P56" s="368">
        <f t="shared" ca="1" si="25"/>
        <v>0</v>
      </c>
      <c r="Q56" s="368">
        <f t="shared" ca="1" si="25"/>
        <v>0</v>
      </c>
      <c r="R56" s="368">
        <f t="shared" ca="1" si="25"/>
        <v>0</v>
      </c>
      <c r="S56" s="368">
        <f t="shared" ca="1" si="25"/>
        <v>0</v>
      </c>
      <c r="T56" s="368">
        <f t="shared" ca="1" si="25"/>
        <v>0</v>
      </c>
      <c r="U56" s="368">
        <f t="shared" ca="1" si="25"/>
        <v>0</v>
      </c>
      <c r="V56" s="368">
        <f t="shared" ca="1" si="25"/>
        <v>0</v>
      </c>
      <c r="W56" s="368">
        <f t="shared" ca="1" si="25"/>
        <v>0</v>
      </c>
      <c r="X56" s="368">
        <f t="shared" ca="1" si="25"/>
        <v>0</v>
      </c>
      <c r="Y56" s="368">
        <f t="shared" ca="1" si="25"/>
        <v>0</v>
      </c>
      <c r="Z56" s="368">
        <f t="shared" ca="1" si="25"/>
        <v>0</v>
      </c>
      <c r="AA56" s="368">
        <f t="shared" ca="1" si="25"/>
        <v>0</v>
      </c>
      <c r="AB56" s="368">
        <f t="shared" ca="1" si="25"/>
        <v>0</v>
      </c>
      <c r="AC56" s="368">
        <f t="shared" ca="1" si="25"/>
        <v>0</v>
      </c>
      <c r="AD56" s="368">
        <f t="shared" ca="1" si="25"/>
        <v>0</v>
      </c>
      <c r="AE56" s="368">
        <f t="shared" ca="1" si="25"/>
        <v>0</v>
      </c>
      <c r="AF56" s="368">
        <f t="shared" ca="1" si="25"/>
        <v>0</v>
      </c>
      <c r="AG56" s="368">
        <f t="shared" ca="1" si="25"/>
        <v>0</v>
      </c>
      <c r="AH56" s="368">
        <f t="shared" ca="1" si="25"/>
        <v>0</v>
      </c>
      <c r="AI56" s="368">
        <f t="shared" ca="1" si="25"/>
        <v>0</v>
      </c>
      <c r="AJ56" s="368">
        <f t="shared" ca="1" si="25"/>
        <v>0</v>
      </c>
      <c r="AK56" s="368">
        <f t="shared" ca="1" si="25"/>
        <v>0</v>
      </c>
      <c r="AL56" s="368">
        <f t="shared" ca="1" si="25"/>
        <v>0</v>
      </c>
      <c r="AM56" s="368">
        <f t="shared" ca="1" si="25"/>
        <v>0</v>
      </c>
      <c r="AN56" s="368">
        <f t="shared" ca="1" si="25"/>
        <v>0</v>
      </c>
      <c r="AO56" s="368">
        <f t="shared" ca="1" si="25"/>
        <v>0</v>
      </c>
      <c r="AP56" s="368">
        <f t="shared" ca="1" si="25"/>
        <v>0</v>
      </c>
      <c r="AQ56" s="368">
        <f t="shared" ca="1" si="25"/>
        <v>0</v>
      </c>
      <c r="AR56" s="368">
        <f t="shared" ca="1" si="25"/>
        <v>0</v>
      </c>
      <c r="AS56" s="368">
        <f t="shared" ca="1" si="25"/>
        <v>0</v>
      </c>
      <c r="AT56" s="368">
        <f t="shared" ca="1" si="25"/>
        <v>0</v>
      </c>
      <c r="AU56" s="368">
        <f t="shared" ca="1" si="25"/>
        <v>0</v>
      </c>
      <c r="AV56" s="368">
        <f t="shared" ca="1" si="25"/>
        <v>0</v>
      </c>
      <c r="AW56" s="368">
        <f t="shared" ca="1" si="25"/>
        <v>0</v>
      </c>
      <c r="AX56" s="368">
        <f t="shared" ca="1" si="25"/>
        <v>0</v>
      </c>
      <c r="AY56" s="368">
        <f t="shared" ca="1" si="25"/>
        <v>0</v>
      </c>
      <c r="AZ56" s="369">
        <f t="shared" ca="1" si="25"/>
        <v>0</v>
      </c>
    </row>
    <row r="57" spans="1:52" hidden="1" outlineLevel="1">
      <c r="A57" s="359"/>
      <c r="B57" s="354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70"/>
      <c r="X57" s="371"/>
      <c r="Y57" s="371"/>
      <c r="Z57" s="371"/>
      <c r="AA57" s="371"/>
      <c r="AB57" s="371"/>
      <c r="AC57" s="371"/>
      <c r="AD57" s="371"/>
      <c r="AE57" s="371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2"/>
      <c r="AV57" s="372"/>
      <c r="AW57" s="372"/>
      <c r="AX57" s="372"/>
      <c r="AY57" s="372"/>
      <c r="AZ57" s="372"/>
    </row>
    <row r="58" spans="1:52" hidden="1" outlineLevel="1">
      <c r="A58" s="83" t="s">
        <v>162</v>
      </c>
      <c r="B58" s="201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73"/>
      <c r="X58" s="371"/>
      <c r="Y58" s="371"/>
      <c r="Z58" s="371"/>
      <c r="AA58" s="371"/>
      <c r="AB58" s="371"/>
      <c r="AC58" s="371"/>
      <c r="AD58" s="371"/>
      <c r="AE58" s="371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2"/>
      <c r="AV58" s="372"/>
      <c r="AW58" s="372"/>
      <c r="AX58" s="372"/>
      <c r="AY58" s="372"/>
      <c r="AZ58" s="372"/>
    </row>
    <row r="59" spans="1:52" hidden="1" outlineLevel="1">
      <c r="A59" s="355" t="s">
        <v>151</v>
      </c>
      <c r="B59" s="201"/>
      <c r="C59" s="356">
        <f t="shared" ref="C59:AH59" ca="1" si="26">$C$14*C$11*$C$3</f>
        <v>1152000</v>
      </c>
      <c r="D59" s="357">
        <f t="shared" ca="1" si="26"/>
        <v>1291458.8347204071</v>
      </c>
      <c r="E59" s="357">
        <f t="shared" ca="1" si="26"/>
        <v>1436732.7375007118</v>
      </c>
      <c r="F59" s="357">
        <f t="shared" ca="1" si="26"/>
        <v>1582900.738875441</v>
      </c>
      <c r="G59" s="357">
        <f t="shared" ca="1" si="26"/>
        <v>1651171.6849214088</v>
      </c>
      <c r="H59" s="357">
        <f t="shared" ca="1" si="26"/>
        <v>1700895.4829291811</v>
      </c>
      <c r="I59" s="357">
        <f t="shared" ca="1" si="26"/>
        <v>1730372.8295036396</v>
      </c>
      <c r="J59" s="357">
        <f t="shared" ca="1" si="26"/>
        <v>1740973.885875768</v>
      </c>
      <c r="K59" s="357">
        <f t="shared" ca="1" si="26"/>
        <v>1736489.5291451437</v>
      </c>
      <c r="L59" s="357">
        <f t="shared" ca="1" si="26"/>
        <v>1717407.0700576925</v>
      </c>
      <c r="M59" s="357">
        <f t="shared" ca="1" si="26"/>
        <v>1685665.5611056075</v>
      </c>
      <c r="N59" s="357">
        <f t="shared" ca="1" si="26"/>
        <v>1642281.3395262703</v>
      </c>
      <c r="O59" s="357">
        <f t="shared" ca="1" si="26"/>
        <v>1589095.6414494498</v>
      </c>
      <c r="P59" s="357">
        <f t="shared" ca="1" si="26"/>
        <v>1528360.1796350172</v>
      </c>
      <c r="Q59" s="357">
        <f t="shared" ca="1" si="26"/>
        <v>1458468.2075519622</v>
      </c>
      <c r="R59" s="357">
        <f t="shared" ca="1" si="26"/>
        <v>1379838.1403133434</v>
      </c>
      <c r="S59" s="357">
        <f t="shared" ca="1" si="26"/>
        <v>1292391.6623599608</v>
      </c>
      <c r="T59" s="357">
        <f t="shared" ca="1" si="26"/>
        <v>1194615.0395352624</v>
      </c>
      <c r="U59" s="357">
        <f t="shared" ca="1" si="26"/>
        <v>1087472.8284615141</v>
      </c>
      <c r="V59" s="357">
        <f t="shared" ca="1" si="26"/>
        <v>968710.06551018055</v>
      </c>
      <c r="W59" s="357">
        <f t="shared" ca="1" si="26"/>
        <v>839292.30720423395</v>
      </c>
      <c r="X59" s="357">
        <f t="shared" ca="1" si="26"/>
        <v>697445.02692616149</v>
      </c>
      <c r="Y59" s="357">
        <f t="shared" ca="1" si="26"/>
        <v>542884.05814498488</v>
      </c>
      <c r="Z59" s="357">
        <f t="shared" ca="1" si="26"/>
        <v>460800</v>
      </c>
      <c r="AA59" s="357">
        <f t="shared" ca="1" si="26"/>
        <v>460800</v>
      </c>
      <c r="AB59" s="357">
        <f t="shared" ca="1" si="26"/>
        <v>460800</v>
      </c>
      <c r="AC59" s="357">
        <f t="shared" ca="1" si="26"/>
        <v>460800</v>
      </c>
      <c r="AD59" s="357">
        <f t="shared" ca="1" si="26"/>
        <v>460800</v>
      </c>
      <c r="AE59" s="357">
        <f t="shared" ca="1" si="26"/>
        <v>460800</v>
      </c>
      <c r="AF59" s="357">
        <f t="shared" ca="1" si="26"/>
        <v>460800</v>
      </c>
      <c r="AG59" s="357">
        <f t="shared" ca="1" si="26"/>
        <v>460800</v>
      </c>
      <c r="AH59" s="357">
        <f t="shared" ca="1" si="26"/>
        <v>460800</v>
      </c>
      <c r="AI59" s="357">
        <f t="shared" ref="AI59:AZ59" ca="1" si="27">$C$14*AI$11*$C$3</f>
        <v>460800</v>
      </c>
      <c r="AJ59" s="357">
        <f t="shared" ca="1" si="27"/>
        <v>460800</v>
      </c>
      <c r="AK59" s="357">
        <f t="shared" ca="1" si="27"/>
        <v>460800</v>
      </c>
      <c r="AL59" s="357">
        <f t="shared" ca="1" si="27"/>
        <v>460800</v>
      </c>
      <c r="AM59" s="357">
        <f t="shared" ca="1" si="27"/>
        <v>460800</v>
      </c>
      <c r="AN59" s="357">
        <f t="shared" ca="1" si="27"/>
        <v>460800</v>
      </c>
      <c r="AO59" s="357">
        <f t="shared" ca="1" si="27"/>
        <v>460800</v>
      </c>
      <c r="AP59" s="357">
        <f t="shared" ca="1" si="27"/>
        <v>460800</v>
      </c>
      <c r="AQ59" s="357">
        <f t="shared" ca="1" si="27"/>
        <v>460800</v>
      </c>
      <c r="AR59" s="357">
        <f t="shared" ca="1" si="27"/>
        <v>460800</v>
      </c>
      <c r="AS59" s="357">
        <f t="shared" ca="1" si="27"/>
        <v>460800</v>
      </c>
      <c r="AT59" s="357">
        <f t="shared" ca="1" si="27"/>
        <v>460800</v>
      </c>
      <c r="AU59" s="357">
        <f t="shared" ca="1" si="27"/>
        <v>460800</v>
      </c>
      <c r="AV59" s="357">
        <f t="shared" ca="1" si="27"/>
        <v>460800</v>
      </c>
      <c r="AW59" s="357">
        <f t="shared" ca="1" si="27"/>
        <v>460800</v>
      </c>
      <c r="AX59" s="357">
        <f t="shared" ca="1" si="27"/>
        <v>460800</v>
      </c>
      <c r="AY59" s="357">
        <f t="shared" ca="1" si="27"/>
        <v>460800</v>
      </c>
      <c r="AZ59" s="358">
        <f t="shared" ca="1" si="27"/>
        <v>460800</v>
      </c>
    </row>
    <row r="60" spans="1:52" hidden="1" outlineLevel="1">
      <c r="A60" s="67" t="s">
        <v>152</v>
      </c>
      <c r="B60" s="201"/>
      <c r="C60" s="360"/>
      <c r="D60" s="361">
        <f t="shared" ref="D60:AI60" ca="1" si="28">$D$14*C$11*$C$3</f>
        <v>2736000</v>
      </c>
      <c r="E60" s="362">
        <f t="shared" ca="1" si="28"/>
        <v>3067214.7324609668</v>
      </c>
      <c r="F60" s="362">
        <f t="shared" ca="1" si="28"/>
        <v>3412240.2515641907</v>
      </c>
      <c r="G60" s="362">
        <f t="shared" ca="1" si="28"/>
        <v>3759389.254829173</v>
      </c>
      <c r="H60" s="362">
        <f t="shared" ca="1" si="28"/>
        <v>3921532.7516883463</v>
      </c>
      <c r="I60" s="362">
        <f t="shared" ca="1" si="28"/>
        <v>4039626.7719568056</v>
      </c>
      <c r="J60" s="362">
        <f t="shared" ca="1" si="28"/>
        <v>4109635.4700711444</v>
      </c>
      <c r="K60" s="362">
        <f t="shared" ca="1" si="28"/>
        <v>4134812.978954949</v>
      </c>
      <c r="L60" s="362">
        <f t="shared" ca="1" si="28"/>
        <v>4124162.6317197168</v>
      </c>
      <c r="M60" s="362">
        <f t="shared" ca="1" si="28"/>
        <v>4078841.7913870192</v>
      </c>
      <c r="N60" s="362">
        <f t="shared" ca="1" si="28"/>
        <v>4003455.7076258184</v>
      </c>
      <c r="O60" s="362">
        <f t="shared" ca="1" si="28"/>
        <v>3900418.1813748921</v>
      </c>
      <c r="P60" s="362">
        <f t="shared" ca="1" si="28"/>
        <v>3774102.1484424439</v>
      </c>
      <c r="Q60" s="362">
        <f t="shared" ca="1" si="28"/>
        <v>3629855.4266331661</v>
      </c>
      <c r="R60" s="362">
        <f t="shared" ca="1" si="28"/>
        <v>3463861.9929359104</v>
      </c>
      <c r="S60" s="362">
        <f t="shared" ca="1" si="28"/>
        <v>3277115.5832441906</v>
      </c>
      <c r="T60" s="362">
        <f t="shared" ca="1" si="28"/>
        <v>3069430.1981049073</v>
      </c>
      <c r="U60" s="362">
        <f t="shared" ca="1" si="28"/>
        <v>2837210.7188962484</v>
      </c>
      <c r="V60" s="362">
        <f t="shared" ca="1" si="28"/>
        <v>2582747.967596096</v>
      </c>
      <c r="W60" s="362">
        <f t="shared" ca="1" si="28"/>
        <v>2300686.405586679</v>
      </c>
      <c r="X60" s="362">
        <f t="shared" ca="1" si="28"/>
        <v>1993319.2296100559</v>
      </c>
      <c r="Y60" s="362">
        <f t="shared" ca="1" si="28"/>
        <v>1656431.9389496332</v>
      </c>
      <c r="Z60" s="362">
        <f t="shared" ca="1" si="28"/>
        <v>1289349.6380943393</v>
      </c>
      <c r="AA60" s="362">
        <f t="shared" ca="1" si="28"/>
        <v>1094400</v>
      </c>
      <c r="AB60" s="362">
        <f t="shared" ca="1" si="28"/>
        <v>1094400</v>
      </c>
      <c r="AC60" s="362">
        <f t="shared" ca="1" si="28"/>
        <v>1094400</v>
      </c>
      <c r="AD60" s="362">
        <f t="shared" ca="1" si="28"/>
        <v>1094400</v>
      </c>
      <c r="AE60" s="362">
        <f t="shared" ca="1" si="28"/>
        <v>1094400</v>
      </c>
      <c r="AF60" s="362">
        <f t="shared" ca="1" si="28"/>
        <v>1094400</v>
      </c>
      <c r="AG60" s="362">
        <f t="shared" ca="1" si="28"/>
        <v>1094400</v>
      </c>
      <c r="AH60" s="362">
        <f t="shared" ca="1" si="28"/>
        <v>1094400</v>
      </c>
      <c r="AI60" s="362">
        <f t="shared" ca="1" si="28"/>
        <v>1094400</v>
      </c>
      <c r="AJ60" s="362">
        <f t="shared" ref="AJ60:AZ60" ca="1" si="29">$D$14*AI$11*$C$3</f>
        <v>1094400</v>
      </c>
      <c r="AK60" s="362">
        <f t="shared" ca="1" si="29"/>
        <v>1094400</v>
      </c>
      <c r="AL60" s="362">
        <f t="shared" ca="1" si="29"/>
        <v>1094400</v>
      </c>
      <c r="AM60" s="362">
        <f t="shared" ca="1" si="29"/>
        <v>1094400</v>
      </c>
      <c r="AN60" s="362">
        <f t="shared" ca="1" si="29"/>
        <v>1094400</v>
      </c>
      <c r="AO60" s="362">
        <f t="shared" ca="1" si="29"/>
        <v>1094400</v>
      </c>
      <c r="AP60" s="362">
        <f t="shared" ca="1" si="29"/>
        <v>1094400</v>
      </c>
      <c r="AQ60" s="362">
        <f t="shared" ca="1" si="29"/>
        <v>1094400</v>
      </c>
      <c r="AR60" s="362">
        <f t="shared" ca="1" si="29"/>
        <v>1094400</v>
      </c>
      <c r="AS60" s="362">
        <f t="shared" ca="1" si="29"/>
        <v>1094400</v>
      </c>
      <c r="AT60" s="362">
        <f t="shared" ca="1" si="29"/>
        <v>1094400</v>
      </c>
      <c r="AU60" s="362">
        <f t="shared" ca="1" si="29"/>
        <v>1094400</v>
      </c>
      <c r="AV60" s="362">
        <f t="shared" ca="1" si="29"/>
        <v>1094400</v>
      </c>
      <c r="AW60" s="362">
        <f t="shared" ca="1" si="29"/>
        <v>1094400</v>
      </c>
      <c r="AX60" s="362">
        <f t="shared" ca="1" si="29"/>
        <v>1094400</v>
      </c>
      <c r="AY60" s="362">
        <f t="shared" ca="1" si="29"/>
        <v>1094400</v>
      </c>
      <c r="AZ60" s="363">
        <f t="shared" ca="1" si="29"/>
        <v>1094400</v>
      </c>
    </row>
    <row r="61" spans="1:52" hidden="1" outlineLevel="1">
      <c r="A61" s="355" t="s">
        <v>153</v>
      </c>
      <c r="B61" s="201"/>
      <c r="C61" s="360"/>
      <c r="D61" s="364"/>
      <c r="E61" s="361">
        <f t="shared" ref="E61:AZ61" ca="1" si="30">$E$14*C$11*$C$3</f>
        <v>3996000</v>
      </c>
      <c r="F61" s="362">
        <f t="shared" ca="1" si="30"/>
        <v>4479747.8329364117</v>
      </c>
      <c r="G61" s="362">
        <f t="shared" ca="1" si="30"/>
        <v>4983666.6832055934</v>
      </c>
      <c r="H61" s="362">
        <f t="shared" ca="1" si="30"/>
        <v>5490686.9379741866</v>
      </c>
      <c r="I61" s="362">
        <f t="shared" ca="1" si="30"/>
        <v>5727501.7820711369</v>
      </c>
      <c r="J61" s="362">
        <f t="shared" ca="1" si="30"/>
        <v>5899981.2064105971</v>
      </c>
      <c r="K61" s="362">
        <f t="shared" ca="1" si="30"/>
        <v>6002230.7523407508</v>
      </c>
      <c r="L61" s="362">
        <f t="shared" ca="1" si="30"/>
        <v>6039003.1666315701</v>
      </c>
      <c r="M61" s="362">
        <f t="shared" ca="1" si="30"/>
        <v>6023448.0542222168</v>
      </c>
      <c r="N61" s="362">
        <f t="shared" ca="1" si="30"/>
        <v>5957255.7742626201</v>
      </c>
      <c r="O61" s="362">
        <f t="shared" ca="1" si="30"/>
        <v>5847152.4150850764</v>
      </c>
      <c r="P61" s="362">
        <f t="shared" ca="1" si="30"/>
        <v>5696663.3964817505</v>
      </c>
      <c r="Q61" s="362">
        <f t="shared" ca="1" si="30"/>
        <v>5512175.5062777791</v>
      </c>
      <c r="R61" s="362">
        <f t="shared" ca="1" si="30"/>
        <v>5301499.3731089663</v>
      </c>
      <c r="S61" s="362">
        <f t="shared" ca="1" si="30"/>
        <v>5059061.5949458685</v>
      </c>
      <c r="T61" s="362">
        <f t="shared" ca="1" si="30"/>
        <v>4786313.54921191</v>
      </c>
      <c r="U61" s="362">
        <f t="shared" ca="1" si="30"/>
        <v>4482983.5788111137</v>
      </c>
      <c r="V61" s="362">
        <f t="shared" ca="1" si="30"/>
        <v>4143820.9183879411</v>
      </c>
      <c r="W61" s="362">
        <f t="shared" ca="1" si="30"/>
        <v>3772171.3737258767</v>
      </c>
      <c r="X61" s="362">
        <f t="shared" ca="1" si="30"/>
        <v>3360213.039738439</v>
      </c>
      <c r="Y61" s="362">
        <f t="shared" ca="1" si="30"/>
        <v>2911295.1906146868</v>
      </c>
      <c r="Z61" s="362">
        <f t="shared" ca="1" si="30"/>
        <v>2419262.4371501226</v>
      </c>
      <c r="AA61" s="362">
        <f t="shared" ca="1" si="30"/>
        <v>1883129.0766904163</v>
      </c>
      <c r="AB61" s="362">
        <f t="shared" ca="1" si="30"/>
        <v>1598400</v>
      </c>
      <c r="AC61" s="362">
        <f t="shared" ca="1" si="30"/>
        <v>1598400</v>
      </c>
      <c r="AD61" s="362">
        <f t="shared" ca="1" si="30"/>
        <v>1598400</v>
      </c>
      <c r="AE61" s="362">
        <f t="shared" ca="1" si="30"/>
        <v>1598400</v>
      </c>
      <c r="AF61" s="362">
        <f t="shared" ca="1" si="30"/>
        <v>1598400</v>
      </c>
      <c r="AG61" s="362">
        <f t="shared" ca="1" si="30"/>
        <v>1598400</v>
      </c>
      <c r="AH61" s="362">
        <f t="shared" ca="1" si="30"/>
        <v>1598400</v>
      </c>
      <c r="AI61" s="362">
        <f t="shared" ca="1" si="30"/>
        <v>1598400</v>
      </c>
      <c r="AJ61" s="362">
        <f t="shared" ca="1" si="30"/>
        <v>1598400</v>
      </c>
      <c r="AK61" s="362">
        <f t="shared" ca="1" si="30"/>
        <v>1598400</v>
      </c>
      <c r="AL61" s="362">
        <f t="shared" ca="1" si="30"/>
        <v>1598400</v>
      </c>
      <c r="AM61" s="362">
        <f t="shared" ca="1" si="30"/>
        <v>1598400</v>
      </c>
      <c r="AN61" s="362">
        <f t="shared" ca="1" si="30"/>
        <v>1598400</v>
      </c>
      <c r="AO61" s="362">
        <f t="shared" ca="1" si="30"/>
        <v>1598400</v>
      </c>
      <c r="AP61" s="362">
        <f t="shared" ca="1" si="30"/>
        <v>1598400</v>
      </c>
      <c r="AQ61" s="362">
        <f t="shared" ca="1" si="30"/>
        <v>1598400</v>
      </c>
      <c r="AR61" s="362">
        <f t="shared" ca="1" si="30"/>
        <v>1598400</v>
      </c>
      <c r="AS61" s="362">
        <f t="shared" ca="1" si="30"/>
        <v>1598400</v>
      </c>
      <c r="AT61" s="362">
        <f t="shared" ca="1" si="30"/>
        <v>1598400</v>
      </c>
      <c r="AU61" s="362">
        <f t="shared" ca="1" si="30"/>
        <v>1598400</v>
      </c>
      <c r="AV61" s="362">
        <f t="shared" ca="1" si="30"/>
        <v>1598400</v>
      </c>
      <c r="AW61" s="362">
        <f t="shared" ca="1" si="30"/>
        <v>1598400</v>
      </c>
      <c r="AX61" s="362">
        <f t="shared" ca="1" si="30"/>
        <v>1598400</v>
      </c>
      <c r="AY61" s="362">
        <f t="shared" ca="1" si="30"/>
        <v>1598400</v>
      </c>
      <c r="AZ61" s="363">
        <f t="shared" ca="1" si="30"/>
        <v>1598400</v>
      </c>
    </row>
    <row r="62" spans="1:52" hidden="1" outlineLevel="1">
      <c r="A62" s="67" t="s">
        <v>154</v>
      </c>
      <c r="B62" s="201"/>
      <c r="C62" s="360"/>
      <c r="D62" s="364"/>
      <c r="E62" s="364"/>
      <c r="F62" s="361">
        <f t="shared" ref="F62:AZ62" ca="1" si="31">$F$14*C$11*$C$3</f>
        <v>4914000</v>
      </c>
      <c r="G62" s="362">
        <f t="shared" ca="1" si="31"/>
        <v>5508879.091854237</v>
      </c>
      <c r="H62" s="362">
        <f t="shared" ca="1" si="31"/>
        <v>6128563.0834014732</v>
      </c>
      <c r="I62" s="362">
        <f t="shared" ca="1" si="31"/>
        <v>6752060.9642655533</v>
      </c>
      <c r="J62" s="362">
        <f t="shared" ca="1" si="31"/>
        <v>7043279.2184928851</v>
      </c>
      <c r="K62" s="362">
        <f t="shared" ca="1" si="31"/>
        <v>7255382.2943697879</v>
      </c>
      <c r="L62" s="362">
        <f t="shared" ca="1" si="31"/>
        <v>7381121.6008514641</v>
      </c>
      <c r="M62" s="362">
        <f t="shared" ca="1" si="31"/>
        <v>7426341.7319388222</v>
      </c>
      <c r="N62" s="362">
        <f t="shared" ca="1" si="31"/>
        <v>7407213.1477597542</v>
      </c>
      <c r="O62" s="362">
        <f t="shared" ca="1" si="31"/>
        <v>7325814.5332148438</v>
      </c>
      <c r="P62" s="362">
        <f t="shared" ca="1" si="31"/>
        <v>7190417.1590911075</v>
      </c>
      <c r="Q62" s="362">
        <f t="shared" ca="1" si="31"/>
        <v>7005356.3389167469</v>
      </c>
      <c r="R62" s="362">
        <f t="shared" ca="1" si="31"/>
        <v>6778486.0955578089</v>
      </c>
      <c r="S62" s="362">
        <f t="shared" ca="1" si="31"/>
        <v>6519411.3912556199</v>
      </c>
      <c r="T62" s="362">
        <f t="shared" ca="1" si="31"/>
        <v>6221278.4478388391</v>
      </c>
      <c r="U62" s="362">
        <f t="shared" ca="1" si="31"/>
        <v>5885872.0672741057</v>
      </c>
      <c r="V62" s="362">
        <f t="shared" ca="1" si="31"/>
        <v>5512858.1847542077</v>
      </c>
      <c r="W62" s="362">
        <f t="shared" ca="1" si="31"/>
        <v>5095779.7780176038</v>
      </c>
      <c r="X62" s="362">
        <f t="shared" ca="1" si="31"/>
        <v>4638751.283906146</v>
      </c>
      <c r="Y62" s="362">
        <f t="shared" ca="1" si="31"/>
        <v>4132153.8731918642</v>
      </c>
      <c r="Z62" s="362">
        <f t="shared" ca="1" si="31"/>
        <v>3580106.2479180605</v>
      </c>
      <c r="AA62" s="362">
        <f t="shared" ca="1" si="31"/>
        <v>2975038.9429819072</v>
      </c>
      <c r="AB62" s="362">
        <f t="shared" ca="1" si="31"/>
        <v>2315739.8105247011</v>
      </c>
      <c r="AC62" s="362">
        <f t="shared" ca="1" si="31"/>
        <v>1965600</v>
      </c>
      <c r="AD62" s="362">
        <f t="shared" ca="1" si="31"/>
        <v>1965600</v>
      </c>
      <c r="AE62" s="362">
        <f t="shared" ca="1" si="31"/>
        <v>1965600</v>
      </c>
      <c r="AF62" s="362">
        <f t="shared" ca="1" si="31"/>
        <v>1965600</v>
      </c>
      <c r="AG62" s="362">
        <f t="shared" ca="1" si="31"/>
        <v>1965600</v>
      </c>
      <c r="AH62" s="362">
        <f t="shared" ca="1" si="31"/>
        <v>1965600</v>
      </c>
      <c r="AI62" s="362">
        <f t="shared" ca="1" si="31"/>
        <v>1965600</v>
      </c>
      <c r="AJ62" s="362">
        <f t="shared" ca="1" si="31"/>
        <v>1965600</v>
      </c>
      <c r="AK62" s="362">
        <f t="shared" ca="1" si="31"/>
        <v>1965600</v>
      </c>
      <c r="AL62" s="362">
        <f t="shared" ca="1" si="31"/>
        <v>1965600</v>
      </c>
      <c r="AM62" s="362">
        <f t="shared" ca="1" si="31"/>
        <v>1965600</v>
      </c>
      <c r="AN62" s="362">
        <f t="shared" ca="1" si="31"/>
        <v>1965600</v>
      </c>
      <c r="AO62" s="362">
        <f t="shared" ca="1" si="31"/>
        <v>1965600</v>
      </c>
      <c r="AP62" s="362">
        <f t="shared" ca="1" si="31"/>
        <v>1965600</v>
      </c>
      <c r="AQ62" s="362">
        <f t="shared" ca="1" si="31"/>
        <v>1965600</v>
      </c>
      <c r="AR62" s="362">
        <f t="shared" ca="1" si="31"/>
        <v>1965600</v>
      </c>
      <c r="AS62" s="362">
        <f t="shared" ca="1" si="31"/>
        <v>1965600</v>
      </c>
      <c r="AT62" s="362">
        <f t="shared" ca="1" si="31"/>
        <v>1965600</v>
      </c>
      <c r="AU62" s="362">
        <f t="shared" ca="1" si="31"/>
        <v>1965600</v>
      </c>
      <c r="AV62" s="362">
        <f t="shared" ca="1" si="31"/>
        <v>1965600</v>
      </c>
      <c r="AW62" s="362">
        <f t="shared" ca="1" si="31"/>
        <v>1965600</v>
      </c>
      <c r="AX62" s="362">
        <f t="shared" ca="1" si="31"/>
        <v>1965600</v>
      </c>
      <c r="AY62" s="362">
        <f t="shared" ca="1" si="31"/>
        <v>1965600</v>
      </c>
      <c r="AZ62" s="363">
        <f t="shared" ca="1" si="31"/>
        <v>1965600</v>
      </c>
    </row>
    <row r="63" spans="1:52" hidden="1" outlineLevel="1">
      <c r="A63" s="355" t="s">
        <v>155</v>
      </c>
      <c r="B63" s="201"/>
      <c r="C63" s="360"/>
      <c r="D63" s="364"/>
      <c r="E63" s="364"/>
      <c r="F63" s="364"/>
      <c r="G63" s="361">
        <f t="shared" ref="G63:AZ63" ca="1" si="32">$G$14*C$11*$C$3</f>
        <v>5310000</v>
      </c>
      <c r="H63" s="362">
        <f t="shared" ca="1" si="32"/>
        <v>5952818.0662893765</v>
      </c>
      <c r="I63" s="362">
        <f t="shared" ca="1" si="32"/>
        <v>6622439.9619173435</v>
      </c>
      <c r="J63" s="362">
        <f t="shared" ca="1" si="32"/>
        <v>7296183.093253986</v>
      </c>
      <c r="K63" s="362">
        <f t="shared" ca="1" si="32"/>
        <v>7610869.4851846192</v>
      </c>
      <c r="L63" s="362">
        <f t="shared" ca="1" si="32"/>
        <v>7840065.1166266948</v>
      </c>
      <c r="M63" s="362">
        <f t="shared" ca="1" si="32"/>
        <v>7975937.2609933391</v>
      </c>
      <c r="N63" s="362">
        <f t="shared" ca="1" si="32"/>
        <v>8024801.5052086189</v>
      </c>
      <c r="O63" s="362">
        <f t="shared" ca="1" si="32"/>
        <v>8004131.4234033972</v>
      </c>
      <c r="P63" s="362">
        <f t="shared" ca="1" si="32"/>
        <v>7916173.2135471758</v>
      </c>
      <c r="Q63" s="362">
        <f t="shared" ca="1" si="32"/>
        <v>7769864.6957211606</v>
      </c>
      <c r="R63" s="362">
        <f t="shared" ca="1" si="32"/>
        <v>7569890.5493789027</v>
      </c>
      <c r="S63" s="362">
        <f t="shared" ca="1" si="32"/>
        <v>7324737.7223060578</v>
      </c>
      <c r="T63" s="362">
        <f t="shared" ca="1" si="32"/>
        <v>7044785.2030051583</v>
      </c>
      <c r="U63" s="362">
        <f t="shared" ca="1" si="32"/>
        <v>6722626.894184825</v>
      </c>
      <c r="V63" s="362">
        <f t="shared" ca="1" si="32"/>
        <v>6360191.4280068176</v>
      </c>
      <c r="W63" s="362">
        <f t="shared" ca="1" si="32"/>
        <v>5957117.8186904443</v>
      </c>
      <c r="X63" s="362">
        <f t="shared" ca="1" si="32"/>
        <v>5506428.6978578502</v>
      </c>
      <c r="Y63" s="362">
        <f t="shared" ca="1" si="32"/>
        <v>5012570.0686897915</v>
      </c>
      <c r="Z63" s="362">
        <f t="shared" ca="1" si="32"/>
        <v>4465147.9582109889</v>
      </c>
      <c r="AA63" s="362">
        <f t="shared" ca="1" si="32"/>
        <v>3868612.9785195161</v>
      </c>
      <c r="AB63" s="362">
        <f t="shared" ca="1" si="32"/>
        <v>3214785.6709877751</v>
      </c>
      <c r="AC63" s="362">
        <f t="shared" ca="1" si="32"/>
        <v>2502356.2055120398</v>
      </c>
      <c r="AD63" s="362">
        <f t="shared" ca="1" si="32"/>
        <v>2124000</v>
      </c>
      <c r="AE63" s="362">
        <f t="shared" ca="1" si="32"/>
        <v>2124000</v>
      </c>
      <c r="AF63" s="362">
        <f t="shared" ca="1" si="32"/>
        <v>2124000</v>
      </c>
      <c r="AG63" s="362">
        <f t="shared" ca="1" si="32"/>
        <v>2124000</v>
      </c>
      <c r="AH63" s="362">
        <f t="shared" ca="1" si="32"/>
        <v>2124000</v>
      </c>
      <c r="AI63" s="362">
        <f t="shared" ca="1" si="32"/>
        <v>2124000</v>
      </c>
      <c r="AJ63" s="362">
        <f t="shared" ca="1" si="32"/>
        <v>2124000</v>
      </c>
      <c r="AK63" s="362">
        <f t="shared" ca="1" si="32"/>
        <v>2124000</v>
      </c>
      <c r="AL63" s="362">
        <f t="shared" ca="1" si="32"/>
        <v>2124000</v>
      </c>
      <c r="AM63" s="362">
        <f t="shared" ca="1" si="32"/>
        <v>2124000</v>
      </c>
      <c r="AN63" s="362">
        <f t="shared" ca="1" si="32"/>
        <v>2124000</v>
      </c>
      <c r="AO63" s="362">
        <f t="shared" ca="1" si="32"/>
        <v>2124000</v>
      </c>
      <c r="AP63" s="362">
        <f t="shared" ca="1" si="32"/>
        <v>2124000</v>
      </c>
      <c r="AQ63" s="362">
        <f t="shared" ca="1" si="32"/>
        <v>2124000</v>
      </c>
      <c r="AR63" s="362">
        <f t="shared" ca="1" si="32"/>
        <v>2124000</v>
      </c>
      <c r="AS63" s="362">
        <f t="shared" ca="1" si="32"/>
        <v>2124000</v>
      </c>
      <c r="AT63" s="362">
        <f t="shared" ca="1" si="32"/>
        <v>2124000</v>
      </c>
      <c r="AU63" s="362">
        <f t="shared" ca="1" si="32"/>
        <v>2124000</v>
      </c>
      <c r="AV63" s="362">
        <f t="shared" ca="1" si="32"/>
        <v>2124000</v>
      </c>
      <c r="AW63" s="362">
        <f t="shared" ca="1" si="32"/>
        <v>2124000</v>
      </c>
      <c r="AX63" s="362">
        <f t="shared" ca="1" si="32"/>
        <v>2124000</v>
      </c>
      <c r="AY63" s="362">
        <f t="shared" ca="1" si="32"/>
        <v>2124000</v>
      </c>
      <c r="AZ63" s="363">
        <f t="shared" ca="1" si="32"/>
        <v>2124000</v>
      </c>
    </row>
    <row r="64" spans="1:52" hidden="1" outlineLevel="1">
      <c r="A64" s="67" t="s">
        <v>156</v>
      </c>
      <c r="B64" s="201"/>
      <c r="C64" s="360"/>
      <c r="D64" s="364"/>
      <c r="E64" s="364"/>
      <c r="F64" s="364"/>
      <c r="G64" s="364"/>
      <c r="H64" s="361">
        <f t="shared" ref="H64:AZ64" ca="1" si="33">$H$14*C$11*$C$3</f>
        <v>5130000</v>
      </c>
      <c r="I64" s="362">
        <f t="shared" ca="1" si="33"/>
        <v>5751027.6233643135</v>
      </c>
      <c r="J64" s="362">
        <f t="shared" ca="1" si="33"/>
        <v>6397950.4716828568</v>
      </c>
      <c r="K64" s="362">
        <f t="shared" ca="1" si="33"/>
        <v>7048854.852804699</v>
      </c>
      <c r="L64" s="362">
        <f t="shared" ca="1" si="33"/>
        <v>7352873.9094156493</v>
      </c>
      <c r="M64" s="362">
        <f t="shared" ca="1" si="33"/>
        <v>7574300.1974190101</v>
      </c>
      <c r="N64" s="362">
        <f t="shared" ca="1" si="33"/>
        <v>7705566.5063833958</v>
      </c>
      <c r="O64" s="362">
        <f t="shared" ca="1" si="33"/>
        <v>7752774.3355405284</v>
      </c>
      <c r="P64" s="362">
        <f t="shared" ca="1" si="33"/>
        <v>7732804.9344744682</v>
      </c>
      <c r="Q64" s="362">
        <f t="shared" ca="1" si="33"/>
        <v>7647828.3588506607</v>
      </c>
      <c r="R64" s="362">
        <f t="shared" ca="1" si="33"/>
        <v>7506479.4517984083</v>
      </c>
      <c r="S64" s="362">
        <f t="shared" ca="1" si="33"/>
        <v>7313284.0900779227</v>
      </c>
      <c r="T64" s="362">
        <f t="shared" ca="1" si="33"/>
        <v>7076441.528329581</v>
      </c>
      <c r="U64" s="362">
        <f t="shared" ca="1" si="33"/>
        <v>6805978.9249371858</v>
      </c>
      <c r="V64" s="362">
        <f t="shared" ca="1" si="33"/>
        <v>6494741.2367548319</v>
      </c>
      <c r="W64" s="362">
        <f t="shared" ca="1" si="33"/>
        <v>6144591.7185828574</v>
      </c>
      <c r="X64" s="362">
        <f t="shared" ca="1" si="33"/>
        <v>5755181.6214467008</v>
      </c>
      <c r="Y64" s="362">
        <f t="shared" ca="1" si="33"/>
        <v>5319770.0979304649</v>
      </c>
      <c r="Z64" s="362">
        <f t="shared" ca="1" si="33"/>
        <v>4842652.4392426796</v>
      </c>
      <c r="AA64" s="362">
        <f t="shared" ca="1" si="33"/>
        <v>4313787.0104750227</v>
      </c>
      <c r="AB64" s="362">
        <f t="shared" ca="1" si="33"/>
        <v>3737473.5555188549</v>
      </c>
      <c r="AC64" s="362">
        <f t="shared" ca="1" si="33"/>
        <v>3105809.8855305626</v>
      </c>
      <c r="AD64" s="362">
        <f t="shared" ca="1" si="33"/>
        <v>2417530.5714268861</v>
      </c>
      <c r="AE64" s="362">
        <f t="shared" ca="1" si="33"/>
        <v>2052000</v>
      </c>
      <c r="AF64" s="362">
        <f t="shared" ca="1" si="33"/>
        <v>2052000</v>
      </c>
      <c r="AG64" s="362">
        <f t="shared" ca="1" si="33"/>
        <v>2052000</v>
      </c>
      <c r="AH64" s="362">
        <f t="shared" ca="1" si="33"/>
        <v>2052000</v>
      </c>
      <c r="AI64" s="362">
        <f t="shared" ca="1" si="33"/>
        <v>2052000</v>
      </c>
      <c r="AJ64" s="362">
        <f t="shared" ca="1" si="33"/>
        <v>2052000</v>
      </c>
      <c r="AK64" s="362">
        <f t="shared" ca="1" si="33"/>
        <v>2052000</v>
      </c>
      <c r="AL64" s="362">
        <f t="shared" ca="1" si="33"/>
        <v>2052000</v>
      </c>
      <c r="AM64" s="362">
        <f t="shared" ca="1" si="33"/>
        <v>2052000</v>
      </c>
      <c r="AN64" s="362">
        <f t="shared" ca="1" si="33"/>
        <v>2052000</v>
      </c>
      <c r="AO64" s="362">
        <f t="shared" ca="1" si="33"/>
        <v>2052000</v>
      </c>
      <c r="AP64" s="362">
        <f t="shared" ca="1" si="33"/>
        <v>2052000</v>
      </c>
      <c r="AQ64" s="362">
        <f t="shared" ca="1" si="33"/>
        <v>2052000</v>
      </c>
      <c r="AR64" s="362">
        <f t="shared" ca="1" si="33"/>
        <v>2052000</v>
      </c>
      <c r="AS64" s="362">
        <f t="shared" ca="1" si="33"/>
        <v>2052000</v>
      </c>
      <c r="AT64" s="362">
        <f t="shared" ca="1" si="33"/>
        <v>2052000</v>
      </c>
      <c r="AU64" s="362">
        <f t="shared" ca="1" si="33"/>
        <v>2052000</v>
      </c>
      <c r="AV64" s="362">
        <f t="shared" ca="1" si="33"/>
        <v>2052000</v>
      </c>
      <c r="AW64" s="362">
        <f t="shared" ca="1" si="33"/>
        <v>2052000</v>
      </c>
      <c r="AX64" s="362">
        <f t="shared" ca="1" si="33"/>
        <v>2052000</v>
      </c>
      <c r="AY64" s="362">
        <f t="shared" ca="1" si="33"/>
        <v>2052000</v>
      </c>
      <c r="AZ64" s="363">
        <f t="shared" ca="1" si="33"/>
        <v>2052000</v>
      </c>
    </row>
    <row r="65" spans="1:52" hidden="1" outlineLevel="1">
      <c r="A65" s="355" t="s">
        <v>157</v>
      </c>
      <c r="B65" s="201"/>
      <c r="C65" s="360"/>
      <c r="D65" s="364"/>
      <c r="E65" s="364"/>
      <c r="F65" s="364"/>
      <c r="G65" s="364"/>
      <c r="H65" s="364"/>
      <c r="I65" s="361">
        <f t="shared" ref="I65:AZ65" ca="1" si="34">$I$14*C$11*$C$3</f>
        <v>4356000</v>
      </c>
      <c r="J65" s="362">
        <f t="shared" ca="1" si="34"/>
        <v>4883328.7187865395</v>
      </c>
      <c r="K65" s="362">
        <f t="shared" ca="1" si="34"/>
        <v>5432645.6636745669</v>
      </c>
      <c r="L65" s="362">
        <f t="shared" ca="1" si="34"/>
        <v>5985343.4188727615</v>
      </c>
      <c r="M65" s="362">
        <f t="shared" ca="1" si="34"/>
        <v>6243492.9336090777</v>
      </c>
      <c r="N65" s="362">
        <f t="shared" ca="1" si="34"/>
        <v>6431511.0448259665</v>
      </c>
      <c r="O65" s="362">
        <f t="shared" ca="1" si="34"/>
        <v>6542972.2615606375</v>
      </c>
      <c r="P65" s="362">
        <f t="shared" ca="1" si="34"/>
        <v>6583057.5059677484</v>
      </c>
      <c r="Q65" s="362">
        <f t="shared" ca="1" si="34"/>
        <v>6566101.0320800748</v>
      </c>
      <c r="R65" s="362">
        <f t="shared" ca="1" si="34"/>
        <v>6493945.4836556483</v>
      </c>
      <c r="S65" s="362">
        <f t="shared" ca="1" si="34"/>
        <v>6373922.9029305782</v>
      </c>
      <c r="T65" s="362">
        <f t="shared" ca="1" si="34"/>
        <v>6209876.3150837105</v>
      </c>
      <c r="U65" s="362">
        <f t="shared" ca="1" si="34"/>
        <v>6008767.8942307318</v>
      </c>
      <c r="V65" s="362">
        <f t="shared" ca="1" si="34"/>
        <v>5779111.9292449094</v>
      </c>
      <c r="W65" s="362">
        <f t="shared" ca="1" si="34"/>
        <v>5514832.9098058566</v>
      </c>
      <c r="X65" s="362">
        <f t="shared" ca="1" si="34"/>
        <v>5217512.9680598294</v>
      </c>
      <c r="Y65" s="362">
        <f t="shared" ca="1" si="34"/>
        <v>4886855.9732986018</v>
      </c>
      <c r="Z65" s="362">
        <f t="shared" ca="1" si="34"/>
        <v>4517138.1182427108</v>
      </c>
      <c r="AA65" s="362">
        <f t="shared" ca="1" si="34"/>
        <v>4112006.6326200995</v>
      </c>
      <c r="AB65" s="362">
        <f t="shared" ca="1" si="34"/>
        <v>3662934.93521037</v>
      </c>
      <c r="AC65" s="362">
        <f t="shared" ca="1" si="34"/>
        <v>3173574.0366160101</v>
      </c>
      <c r="AD65" s="362">
        <f t="shared" ca="1" si="34"/>
        <v>2637214.0080645476</v>
      </c>
      <c r="AE65" s="362">
        <f t="shared" ca="1" si="34"/>
        <v>2052780.3448607242</v>
      </c>
      <c r="AF65" s="362">
        <f t="shared" ca="1" si="34"/>
        <v>1742400</v>
      </c>
      <c r="AG65" s="362">
        <f t="shared" ca="1" si="34"/>
        <v>1742400</v>
      </c>
      <c r="AH65" s="362">
        <f t="shared" ca="1" si="34"/>
        <v>1742400</v>
      </c>
      <c r="AI65" s="362">
        <f t="shared" ca="1" si="34"/>
        <v>1742400</v>
      </c>
      <c r="AJ65" s="362">
        <f t="shared" ca="1" si="34"/>
        <v>1742400</v>
      </c>
      <c r="AK65" s="362">
        <f t="shared" ca="1" si="34"/>
        <v>1742400</v>
      </c>
      <c r="AL65" s="362">
        <f t="shared" ca="1" si="34"/>
        <v>1742400</v>
      </c>
      <c r="AM65" s="362">
        <f t="shared" ca="1" si="34"/>
        <v>1742400</v>
      </c>
      <c r="AN65" s="362">
        <f t="shared" ca="1" si="34"/>
        <v>1742400</v>
      </c>
      <c r="AO65" s="362">
        <f t="shared" ca="1" si="34"/>
        <v>1742400</v>
      </c>
      <c r="AP65" s="362">
        <f t="shared" ca="1" si="34"/>
        <v>1742400</v>
      </c>
      <c r="AQ65" s="362">
        <f t="shared" ca="1" si="34"/>
        <v>1742400</v>
      </c>
      <c r="AR65" s="362">
        <f t="shared" ca="1" si="34"/>
        <v>1742400</v>
      </c>
      <c r="AS65" s="362">
        <f t="shared" ca="1" si="34"/>
        <v>1742400</v>
      </c>
      <c r="AT65" s="362">
        <f t="shared" ca="1" si="34"/>
        <v>1742400</v>
      </c>
      <c r="AU65" s="362">
        <f t="shared" ca="1" si="34"/>
        <v>1742400</v>
      </c>
      <c r="AV65" s="362">
        <f t="shared" ca="1" si="34"/>
        <v>1742400</v>
      </c>
      <c r="AW65" s="362">
        <f t="shared" ca="1" si="34"/>
        <v>1742400</v>
      </c>
      <c r="AX65" s="362">
        <f t="shared" ca="1" si="34"/>
        <v>1742400</v>
      </c>
      <c r="AY65" s="362">
        <f t="shared" ca="1" si="34"/>
        <v>1742400</v>
      </c>
      <c r="AZ65" s="363">
        <f t="shared" ca="1" si="34"/>
        <v>1742400</v>
      </c>
    </row>
    <row r="66" spans="1:52" hidden="1" outlineLevel="1">
      <c r="A66" s="67" t="s">
        <v>158</v>
      </c>
      <c r="B66" s="201"/>
      <c r="C66" s="360"/>
      <c r="D66" s="364"/>
      <c r="E66" s="364"/>
      <c r="F66" s="364"/>
      <c r="G66" s="364"/>
      <c r="H66" s="364"/>
      <c r="I66" s="364"/>
      <c r="J66" s="361">
        <f t="shared" ref="J66:AZ66" ca="1" si="35">$J$14*C$11*$C$3</f>
        <v>3654000</v>
      </c>
      <c r="K66" s="362">
        <f t="shared" ca="1" si="35"/>
        <v>4096345.9913787916</v>
      </c>
      <c r="L66" s="362">
        <f t="shared" ca="1" si="35"/>
        <v>4557136.6517600706</v>
      </c>
      <c r="M66" s="362">
        <f t="shared" ca="1" si="35"/>
        <v>5020763.2811205396</v>
      </c>
      <c r="N66" s="362">
        <f t="shared" ca="1" si="35"/>
        <v>5237310.1881100936</v>
      </c>
      <c r="O66" s="362">
        <f t="shared" ca="1" si="35"/>
        <v>5395027.859915996</v>
      </c>
      <c r="P66" s="362">
        <f t="shared" ca="1" si="35"/>
        <v>5488526.3185818577</v>
      </c>
      <c r="Q66" s="362">
        <f t="shared" ca="1" si="35"/>
        <v>5522151.5442622015</v>
      </c>
      <c r="R66" s="362">
        <f t="shared" ca="1" si="35"/>
        <v>5507927.7252572523</v>
      </c>
      <c r="S66" s="362">
        <f t="shared" ca="1" si="35"/>
        <v>5447400.5503392434</v>
      </c>
      <c r="T66" s="362">
        <f t="shared" ca="1" si="35"/>
        <v>5346720.4516318487</v>
      </c>
      <c r="U66" s="362">
        <f t="shared" ca="1" si="35"/>
        <v>5209111.123809889</v>
      </c>
      <c r="V66" s="362">
        <f t="shared" ca="1" si="35"/>
        <v>5040412.7377224732</v>
      </c>
      <c r="W66" s="362">
        <f t="shared" ca="1" si="35"/>
        <v>4847767.4447798207</v>
      </c>
      <c r="X66" s="362">
        <f t="shared" ca="1" si="35"/>
        <v>4626078.8458288796</v>
      </c>
      <c r="Y66" s="362">
        <f t="shared" ca="1" si="35"/>
        <v>4376674.1013063863</v>
      </c>
      <c r="Z66" s="362">
        <f t="shared" ca="1" si="35"/>
        <v>4099304.8040480008</v>
      </c>
      <c r="AA66" s="362">
        <f t="shared" ca="1" si="35"/>
        <v>3789169.5785259102</v>
      </c>
      <c r="AB66" s="362">
        <f t="shared" ca="1" si="35"/>
        <v>3449327.8777763653</v>
      </c>
      <c r="AC66" s="362">
        <f t="shared" ca="1" si="35"/>
        <v>3072627.2390401042</v>
      </c>
      <c r="AD66" s="362">
        <f t="shared" ca="1" si="35"/>
        <v>2662130.2869134299</v>
      </c>
      <c r="AE66" s="362">
        <f t="shared" ca="1" si="35"/>
        <v>2212208.4447814184</v>
      </c>
      <c r="AF66" s="362">
        <f t="shared" ca="1" si="35"/>
        <v>1721960.3719286241</v>
      </c>
      <c r="AG66" s="362">
        <f t="shared" ca="1" si="35"/>
        <v>1461600</v>
      </c>
      <c r="AH66" s="362">
        <f t="shared" ca="1" si="35"/>
        <v>1461600</v>
      </c>
      <c r="AI66" s="362">
        <f t="shared" ca="1" si="35"/>
        <v>1461600</v>
      </c>
      <c r="AJ66" s="362">
        <f t="shared" ca="1" si="35"/>
        <v>1461600</v>
      </c>
      <c r="AK66" s="362">
        <f t="shared" ca="1" si="35"/>
        <v>1461600</v>
      </c>
      <c r="AL66" s="362">
        <f t="shared" ca="1" si="35"/>
        <v>1461600</v>
      </c>
      <c r="AM66" s="362">
        <f t="shared" ca="1" si="35"/>
        <v>1461600</v>
      </c>
      <c r="AN66" s="362">
        <f t="shared" ca="1" si="35"/>
        <v>1461600</v>
      </c>
      <c r="AO66" s="362">
        <f t="shared" ca="1" si="35"/>
        <v>1461600</v>
      </c>
      <c r="AP66" s="362">
        <f t="shared" ca="1" si="35"/>
        <v>1461600</v>
      </c>
      <c r="AQ66" s="362">
        <f t="shared" ca="1" si="35"/>
        <v>1461600</v>
      </c>
      <c r="AR66" s="362">
        <f t="shared" ca="1" si="35"/>
        <v>1461600</v>
      </c>
      <c r="AS66" s="362">
        <f t="shared" ca="1" si="35"/>
        <v>1461600</v>
      </c>
      <c r="AT66" s="362">
        <f t="shared" ca="1" si="35"/>
        <v>1461600</v>
      </c>
      <c r="AU66" s="362">
        <f t="shared" ca="1" si="35"/>
        <v>1461600</v>
      </c>
      <c r="AV66" s="362">
        <f t="shared" ca="1" si="35"/>
        <v>1461600</v>
      </c>
      <c r="AW66" s="362">
        <f t="shared" ca="1" si="35"/>
        <v>1461600</v>
      </c>
      <c r="AX66" s="362">
        <f t="shared" ca="1" si="35"/>
        <v>1461600</v>
      </c>
      <c r="AY66" s="362">
        <f t="shared" ca="1" si="35"/>
        <v>1461600</v>
      </c>
      <c r="AZ66" s="363">
        <f t="shared" ca="1" si="35"/>
        <v>1461600</v>
      </c>
    </row>
    <row r="67" spans="1:52" hidden="1" outlineLevel="1">
      <c r="A67" s="355" t="s">
        <v>159</v>
      </c>
      <c r="B67" s="201"/>
      <c r="C67" s="360"/>
      <c r="D67" s="364"/>
      <c r="E67" s="364"/>
      <c r="F67" s="364"/>
      <c r="G67" s="364"/>
      <c r="H67" s="364"/>
      <c r="I67" s="364"/>
      <c r="J67" s="364"/>
      <c r="K67" s="361">
        <f t="shared" ref="K67:AZ67" ca="1" si="36">$K$14*C$11*$C$3</f>
        <v>2520000</v>
      </c>
      <c r="L67" s="362">
        <f t="shared" ca="1" si="36"/>
        <v>2825066.2009508908</v>
      </c>
      <c r="M67" s="362">
        <f t="shared" ca="1" si="36"/>
        <v>3142852.8632828067</v>
      </c>
      <c r="N67" s="362">
        <f t="shared" ca="1" si="36"/>
        <v>3462595.3662900273</v>
      </c>
      <c r="O67" s="362">
        <f t="shared" ca="1" si="36"/>
        <v>3611938.0607655821</v>
      </c>
      <c r="P67" s="362">
        <f t="shared" ca="1" si="36"/>
        <v>3720708.8689075834</v>
      </c>
      <c r="Q67" s="362">
        <f t="shared" ca="1" si="36"/>
        <v>3785190.5645392118</v>
      </c>
      <c r="R67" s="362">
        <f t="shared" ca="1" si="36"/>
        <v>3808380.3753532423</v>
      </c>
      <c r="S67" s="362">
        <f t="shared" ca="1" si="36"/>
        <v>3798570.8450050019</v>
      </c>
      <c r="T67" s="362">
        <f t="shared" ca="1" si="36"/>
        <v>3756827.9657512018</v>
      </c>
      <c r="U67" s="362">
        <f t="shared" ca="1" si="36"/>
        <v>3687393.4149185163</v>
      </c>
      <c r="V67" s="362">
        <f t="shared" ca="1" si="36"/>
        <v>3592490.4302137163</v>
      </c>
      <c r="W67" s="362">
        <f t="shared" ca="1" si="36"/>
        <v>3476146.7156706713</v>
      </c>
      <c r="X67" s="362">
        <f t="shared" ca="1" si="36"/>
        <v>3343287.8929515998</v>
      </c>
      <c r="Y67" s="362">
        <f t="shared" ca="1" si="36"/>
        <v>3190399.2040199172</v>
      </c>
      <c r="Z67" s="362">
        <f t="shared" ca="1" si="36"/>
        <v>3018395.9319354384</v>
      </c>
      <c r="AA67" s="362">
        <f t="shared" ca="1" si="36"/>
        <v>2827106.7614124143</v>
      </c>
      <c r="AB67" s="362">
        <f t="shared" ca="1" si="36"/>
        <v>2613220.3989833863</v>
      </c>
      <c r="AC67" s="362">
        <f t="shared" ca="1" si="36"/>
        <v>2378846.8122595618</v>
      </c>
      <c r="AD67" s="362">
        <f t="shared" ca="1" si="36"/>
        <v>2119053.26830352</v>
      </c>
      <c r="AE67" s="362">
        <f t="shared" ca="1" si="36"/>
        <v>1835951.9220092618</v>
      </c>
      <c r="AF67" s="362">
        <f t="shared" ca="1" si="36"/>
        <v>1525660.996400978</v>
      </c>
      <c r="AG67" s="362">
        <f t="shared" ca="1" si="36"/>
        <v>1187558.8771921545</v>
      </c>
      <c r="AH67" s="362">
        <f t="shared" ca="1" si="36"/>
        <v>1008000</v>
      </c>
      <c r="AI67" s="362">
        <f t="shared" ca="1" si="36"/>
        <v>1008000</v>
      </c>
      <c r="AJ67" s="362">
        <f t="shared" ca="1" si="36"/>
        <v>1008000</v>
      </c>
      <c r="AK67" s="362">
        <f t="shared" ca="1" si="36"/>
        <v>1008000</v>
      </c>
      <c r="AL67" s="362">
        <f t="shared" ca="1" si="36"/>
        <v>1008000</v>
      </c>
      <c r="AM67" s="362">
        <f t="shared" ca="1" si="36"/>
        <v>1008000</v>
      </c>
      <c r="AN67" s="362">
        <f t="shared" ca="1" si="36"/>
        <v>1008000</v>
      </c>
      <c r="AO67" s="362">
        <f t="shared" ca="1" si="36"/>
        <v>1008000</v>
      </c>
      <c r="AP67" s="362">
        <f t="shared" ca="1" si="36"/>
        <v>1008000</v>
      </c>
      <c r="AQ67" s="362">
        <f t="shared" ca="1" si="36"/>
        <v>1008000</v>
      </c>
      <c r="AR67" s="362">
        <f t="shared" ca="1" si="36"/>
        <v>1008000</v>
      </c>
      <c r="AS67" s="362">
        <f t="shared" ca="1" si="36"/>
        <v>1008000</v>
      </c>
      <c r="AT67" s="362">
        <f t="shared" ca="1" si="36"/>
        <v>1008000</v>
      </c>
      <c r="AU67" s="362">
        <f t="shared" ca="1" si="36"/>
        <v>1008000</v>
      </c>
      <c r="AV67" s="362">
        <f t="shared" ca="1" si="36"/>
        <v>1008000</v>
      </c>
      <c r="AW67" s="362">
        <f t="shared" ca="1" si="36"/>
        <v>1008000</v>
      </c>
      <c r="AX67" s="362">
        <f t="shared" ca="1" si="36"/>
        <v>1008000</v>
      </c>
      <c r="AY67" s="362">
        <f t="shared" ca="1" si="36"/>
        <v>1008000</v>
      </c>
      <c r="AZ67" s="363">
        <f t="shared" ca="1" si="36"/>
        <v>1008000</v>
      </c>
    </row>
    <row r="68" spans="1:52" hidden="1" outlineLevel="1">
      <c r="A68" s="67" t="s">
        <v>160</v>
      </c>
      <c r="B68" s="201"/>
      <c r="C68" s="360"/>
      <c r="D68" s="364"/>
      <c r="E68" s="364"/>
      <c r="F68" s="364"/>
      <c r="G68" s="364"/>
      <c r="H68" s="364"/>
      <c r="I68" s="364"/>
      <c r="J68" s="364"/>
      <c r="K68" s="364"/>
      <c r="L68" s="361">
        <f t="shared" ref="L68:AZ68" ca="1" si="37">$L$14*C$11*$C$3</f>
        <v>1314000</v>
      </c>
      <c r="M68" s="362">
        <f t="shared" ca="1" si="37"/>
        <v>1473070.2333529645</v>
      </c>
      <c r="N68" s="362">
        <f t="shared" ca="1" si="37"/>
        <v>1638773.2787117492</v>
      </c>
      <c r="O68" s="362">
        <f t="shared" ca="1" si="37"/>
        <v>1805496.1552798001</v>
      </c>
      <c r="P68" s="362">
        <f t="shared" ca="1" si="37"/>
        <v>1883367.7031134821</v>
      </c>
      <c r="Q68" s="362">
        <f t="shared" ca="1" si="37"/>
        <v>1940083.9102160973</v>
      </c>
      <c r="R68" s="362">
        <f t="shared" ca="1" si="37"/>
        <v>1973706.5086525891</v>
      </c>
      <c r="S68" s="362">
        <f t="shared" ca="1" si="37"/>
        <v>1985798.3385770477</v>
      </c>
      <c r="T68" s="362">
        <f t="shared" ca="1" si="37"/>
        <v>1980683.3691811794</v>
      </c>
      <c r="U68" s="362">
        <f t="shared" ca="1" si="37"/>
        <v>1958917.4392845554</v>
      </c>
      <c r="V68" s="362">
        <f t="shared" ca="1" si="37"/>
        <v>1922712.2806360836</v>
      </c>
      <c r="W68" s="362">
        <f t="shared" ca="1" si="37"/>
        <v>1873227.1528971524</v>
      </c>
      <c r="X68" s="362">
        <f t="shared" ca="1" si="37"/>
        <v>1812562.2160282787</v>
      </c>
      <c r="Y68" s="362">
        <f t="shared" ca="1" si="37"/>
        <v>1743285.8298961916</v>
      </c>
      <c r="Z68" s="362">
        <f t="shared" ca="1" si="37"/>
        <v>1663565.299238957</v>
      </c>
      <c r="AA68" s="362">
        <f t="shared" ca="1" si="37"/>
        <v>1573877.8787949071</v>
      </c>
      <c r="AB68" s="362">
        <f t="shared" ca="1" si="37"/>
        <v>1474134.2398793302</v>
      </c>
      <c r="AC68" s="362">
        <f t="shared" ca="1" si="37"/>
        <v>1362607.7794699087</v>
      </c>
      <c r="AD68" s="362">
        <f t="shared" ca="1" si="37"/>
        <v>1240398.6949639143</v>
      </c>
      <c r="AE68" s="362">
        <f t="shared" ca="1" si="37"/>
        <v>1104934.9184725499</v>
      </c>
      <c r="AF68" s="362">
        <f t="shared" ca="1" si="37"/>
        <v>957317.78790482949</v>
      </c>
      <c r="AG68" s="362">
        <f t="shared" ca="1" si="37"/>
        <v>795523.23383765284</v>
      </c>
      <c r="AH68" s="362">
        <f t="shared" ca="1" si="37"/>
        <v>619227.1288216234</v>
      </c>
      <c r="AI68" s="362">
        <f t="shared" ca="1" si="37"/>
        <v>525600</v>
      </c>
      <c r="AJ68" s="362">
        <f t="shared" ca="1" si="37"/>
        <v>525600</v>
      </c>
      <c r="AK68" s="362">
        <f t="shared" ca="1" si="37"/>
        <v>525600</v>
      </c>
      <c r="AL68" s="362">
        <f t="shared" ca="1" si="37"/>
        <v>525600</v>
      </c>
      <c r="AM68" s="362">
        <f t="shared" ca="1" si="37"/>
        <v>525600</v>
      </c>
      <c r="AN68" s="362">
        <f t="shared" ca="1" si="37"/>
        <v>525600</v>
      </c>
      <c r="AO68" s="362">
        <f t="shared" ca="1" si="37"/>
        <v>525600</v>
      </c>
      <c r="AP68" s="362">
        <f t="shared" ca="1" si="37"/>
        <v>525600</v>
      </c>
      <c r="AQ68" s="362">
        <f t="shared" ca="1" si="37"/>
        <v>525600</v>
      </c>
      <c r="AR68" s="362">
        <f t="shared" ca="1" si="37"/>
        <v>525600</v>
      </c>
      <c r="AS68" s="362">
        <f t="shared" ca="1" si="37"/>
        <v>525600</v>
      </c>
      <c r="AT68" s="362">
        <f t="shared" ca="1" si="37"/>
        <v>525600</v>
      </c>
      <c r="AU68" s="362">
        <f t="shared" ca="1" si="37"/>
        <v>525600</v>
      </c>
      <c r="AV68" s="362">
        <f t="shared" ca="1" si="37"/>
        <v>525600</v>
      </c>
      <c r="AW68" s="362">
        <f t="shared" ca="1" si="37"/>
        <v>525600</v>
      </c>
      <c r="AX68" s="362">
        <f t="shared" ca="1" si="37"/>
        <v>525600</v>
      </c>
      <c r="AY68" s="362">
        <f t="shared" ca="1" si="37"/>
        <v>525600</v>
      </c>
      <c r="AZ68" s="363">
        <f t="shared" ca="1" si="37"/>
        <v>525600</v>
      </c>
    </row>
    <row r="69" spans="1:52" hidden="1" outlineLevel="1">
      <c r="A69" s="355" t="s">
        <v>163</v>
      </c>
      <c r="B69" s="201"/>
      <c r="C69" s="360"/>
      <c r="D69" s="364"/>
      <c r="E69" s="364"/>
      <c r="F69" s="364"/>
      <c r="G69" s="364"/>
      <c r="H69" s="364"/>
      <c r="I69" s="364"/>
      <c r="J69" s="364"/>
      <c r="K69" s="364"/>
      <c r="L69" s="364"/>
      <c r="M69" s="361">
        <f t="shared" ref="M69:AZ69" ca="1" si="38">$M$14*C$11*$C$3</f>
        <v>612000</v>
      </c>
      <c r="N69" s="362">
        <f t="shared" ca="1" si="38"/>
        <v>686087.50594521628</v>
      </c>
      <c r="O69" s="362">
        <f t="shared" ca="1" si="38"/>
        <v>763264.26679725316</v>
      </c>
      <c r="P69" s="362">
        <f t="shared" ca="1" si="38"/>
        <v>840916.01752757817</v>
      </c>
      <c r="Q69" s="362">
        <f t="shared" ca="1" si="38"/>
        <v>877184.95761449845</v>
      </c>
      <c r="R69" s="362">
        <f t="shared" ca="1" si="38"/>
        <v>903600.72530612745</v>
      </c>
      <c r="S69" s="362">
        <f t="shared" ca="1" si="38"/>
        <v>919260.56567380868</v>
      </c>
      <c r="T69" s="362">
        <f t="shared" ca="1" si="38"/>
        <v>924892.37687150179</v>
      </c>
      <c r="U69" s="362">
        <f t="shared" ca="1" si="38"/>
        <v>922510.06235835771</v>
      </c>
      <c r="V69" s="362">
        <f t="shared" ca="1" si="38"/>
        <v>912372.50596814905</v>
      </c>
      <c r="W69" s="362">
        <f t="shared" ca="1" si="38"/>
        <v>895509.82933735405</v>
      </c>
      <c r="X69" s="362">
        <f t="shared" ca="1" si="38"/>
        <v>872461.96162333118</v>
      </c>
      <c r="Y69" s="362">
        <f t="shared" ca="1" si="38"/>
        <v>844207.05952002027</v>
      </c>
      <c r="Z69" s="362">
        <f t="shared" ca="1" si="38"/>
        <v>811941.34543110291</v>
      </c>
      <c r="AA69" s="362">
        <f t="shared" ca="1" si="38"/>
        <v>774811.23526197975</v>
      </c>
      <c r="AB69" s="362">
        <f t="shared" ca="1" si="38"/>
        <v>733039.01204146363</v>
      </c>
      <c r="AC69" s="362">
        <f t="shared" ca="1" si="38"/>
        <v>686583.07062872918</v>
      </c>
      <c r="AD69" s="362">
        <f t="shared" ca="1" si="38"/>
        <v>634639.23975310812</v>
      </c>
      <c r="AE69" s="362">
        <f t="shared" ca="1" si="38"/>
        <v>577719.94012017932</v>
      </c>
      <c r="AF69" s="362">
        <f t="shared" ca="1" si="38"/>
        <v>514627.22230228345</v>
      </c>
      <c r="AG69" s="362">
        <f t="shared" ca="1" si="38"/>
        <v>445874.03820224933</v>
      </c>
      <c r="AH69" s="362">
        <f t="shared" ca="1" si="38"/>
        <v>370517.67055452324</v>
      </c>
      <c r="AI69" s="362">
        <f t="shared" ca="1" si="38"/>
        <v>288407.15588952322</v>
      </c>
      <c r="AJ69" s="362">
        <f t="shared" ca="1" si="38"/>
        <v>244800</v>
      </c>
      <c r="AK69" s="362">
        <f t="shared" ca="1" si="38"/>
        <v>244800</v>
      </c>
      <c r="AL69" s="362">
        <f t="shared" ca="1" si="38"/>
        <v>244800</v>
      </c>
      <c r="AM69" s="362">
        <f t="shared" ca="1" si="38"/>
        <v>244800</v>
      </c>
      <c r="AN69" s="362">
        <f t="shared" ca="1" si="38"/>
        <v>244800</v>
      </c>
      <c r="AO69" s="362">
        <f t="shared" ca="1" si="38"/>
        <v>244800</v>
      </c>
      <c r="AP69" s="362">
        <f t="shared" ca="1" si="38"/>
        <v>244800</v>
      </c>
      <c r="AQ69" s="362">
        <f t="shared" ca="1" si="38"/>
        <v>244800</v>
      </c>
      <c r="AR69" s="362">
        <f t="shared" ca="1" si="38"/>
        <v>244800</v>
      </c>
      <c r="AS69" s="362">
        <f t="shared" ca="1" si="38"/>
        <v>244800</v>
      </c>
      <c r="AT69" s="362">
        <f t="shared" ca="1" si="38"/>
        <v>244800</v>
      </c>
      <c r="AU69" s="362">
        <f t="shared" ca="1" si="38"/>
        <v>244800</v>
      </c>
      <c r="AV69" s="362">
        <f t="shared" ca="1" si="38"/>
        <v>244800</v>
      </c>
      <c r="AW69" s="362">
        <f t="shared" ca="1" si="38"/>
        <v>244800</v>
      </c>
      <c r="AX69" s="362">
        <f t="shared" ca="1" si="38"/>
        <v>244800</v>
      </c>
      <c r="AY69" s="362">
        <f t="shared" ca="1" si="38"/>
        <v>244800</v>
      </c>
      <c r="AZ69" s="363">
        <f t="shared" ca="1" si="38"/>
        <v>244800</v>
      </c>
    </row>
    <row r="70" spans="1:52" hidden="1" outlineLevel="1">
      <c r="A70" s="67" t="s">
        <v>164</v>
      </c>
      <c r="B70" s="201"/>
      <c r="C70" s="360"/>
      <c r="D70" s="364"/>
      <c r="E70" s="364"/>
      <c r="F70" s="364"/>
      <c r="G70" s="364"/>
      <c r="H70" s="364"/>
      <c r="I70" s="364"/>
      <c r="J70" s="364"/>
      <c r="K70" s="364"/>
      <c r="L70" s="364"/>
      <c r="M70" s="364"/>
      <c r="N70" s="361">
        <f t="shared" ref="N70:AZ70" ca="1" si="39">$N$14*C$11*$C$3</f>
        <v>252000</v>
      </c>
      <c r="O70" s="362">
        <f t="shared" ca="1" si="39"/>
        <v>282506.62009508902</v>
      </c>
      <c r="P70" s="362">
        <f t="shared" ca="1" si="39"/>
        <v>314285.28632828069</v>
      </c>
      <c r="Q70" s="362">
        <f t="shared" ca="1" si="39"/>
        <v>346259.53662900277</v>
      </c>
      <c r="R70" s="362">
        <f t="shared" ca="1" si="39"/>
        <v>361193.80607655819</v>
      </c>
      <c r="S70" s="362">
        <f t="shared" ca="1" si="39"/>
        <v>372070.88689075841</v>
      </c>
      <c r="T70" s="362">
        <f t="shared" ca="1" si="39"/>
        <v>378519.05645392119</v>
      </c>
      <c r="U70" s="362">
        <f t="shared" ca="1" si="39"/>
        <v>380838.03753532429</v>
      </c>
      <c r="V70" s="362">
        <f t="shared" ca="1" si="39"/>
        <v>379857.08450050023</v>
      </c>
      <c r="W70" s="362">
        <f t="shared" ca="1" si="39"/>
        <v>375682.79657512018</v>
      </c>
      <c r="X70" s="362">
        <f t="shared" ca="1" si="39"/>
        <v>368739.34149185166</v>
      </c>
      <c r="Y70" s="362">
        <f t="shared" ca="1" si="39"/>
        <v>359249.04302137165</v>
      </c>
      <c r="Z70" s="362">
        <f t="shared" ca="1" si="39"/>
        <v>347614.67156706715</v>
      </c>
      <c r="AA70" s="362">
        <f t="shared" ca="1" si="39"/>
        <v>334328.78929516004</v>
      </c>
      <c r="AB70" s="362">
        <f t="shared" ca="1" si="39"/>
        <v>319039.92040199175</v>
      </c>
      <c r="AC70" s="362">
        <f t="shared" ca="1" si="39"/>
        <v>301839.59319354384</v>
      </c>
      <c r="AD70" s="362">
        <f t="shared" ca="1" si="39"/>
        <v>282710.67614124145</v>
      </c>
      <c r="AE70" s="362">
        <f t="shared" ca="1" si="39"/>
        <v>261322.03989833861</v>
      </c>
      <c r="AF70" s="362">
        <f t="shared" ca="1" si="39"/>
        <v>237884.68122595618</v>
      </c>
      <c r="AG70" s="362">
        <f t="shared" ca="1" si="39"/>
        <v>211905.32683035199</v>
      </c>
      <c r="AH70" s="362">
        <f t="shared" ca="1" si="39"/>
        <v>183595.19220092619</v>
      </c>
      <c r="AI70" s="362">
        <f t="shared" ca="1" si="39"/>
        <v>152566.09964009782</v>
      </c>
      <c r="AJ70" s="362">
        <f t="shared" ca="1" si="39"/>
        <v>118755.88771921546</v>
      </c>
      <c r="AK70" s="362">
        <f t="shared" ca="1" si="39"/>
        <v>100800</v>
      </c>
      <c r="AL70" s="362">
        <f t="shared" ca="1" si="39"/>
        <v>100800</v>
      </c>
      <c r="AM70" s="362">
        <f t="shared" ca="1" si="39"/>
        <v>100800</v>
      </c>
      <c r="AN70" s="362">
        <f t="shared" ca="1" si="39"/>
        <v>100800</v>
      </c>
      <c r="AO70" s="362">
        <f t="shared" ca="1" si="39"/>
        <v>100800</v>
      </c>
      <c r="AP70" s="362">
        <f t="shared" ca="1" si="39"/>
        <v>100800</v>
      </c>
      <c r="AQ70" s="362">
        <f t="shared" ca="1" si="39"/>
        <v>100800</v>
      </c>
      <c r="AR70" s="362">
        <f t="shared" ca="1" si="39"/>
        <v>100800</v>
      </c>
      <c r="AS70" s="362">
        <f t="shared" ca="1" si="39"/>
        <v>100800</v>
      </c>
      <c r="AT70" s="362">
        <f t="shared" ca="1" si="39"/>
        <v>100800</v>
      </c>
      <c r="AU70" s="362">
        <f t="shared" ca="1" si="39"/>
        <v>100800</v>
      </c>
      <c r="AV70" s="362">
        <f t="shared" ca="1" si="39"/>
        <v>100800</v>
      </c>
      <c r="AW70" s="362">
        <f t="shared" ca="1" si="39"/>
        <v>100800</v>
      </c>
      <c r="AX70" s="362">
        <f t="shared" ca="1" si="39"/>
        <v>100800</v>
      </c>
      <c r="AY70" s="362">
        <f t="shared" ca="1" si="39"/>
        <v>100800</v>
      </c>
      <c r="AZ70" s="363">
        <f t="shared" ca="1" si="39"/>
        <v>100800</v>
      </c>
    </row>
    <row r="71" spans="1:52" hidden="1" outlineLevel="1">
      <c r="A71" s="355" t="s">
        <v>165</v>
      </c>
      <c r="B71" s="201"/>
      <c r="C71" s="360"/>
      <c r="D71" s="364"/>
      <c r="E71" s="364"/>
      <c r="F71" s="364"/>
      <c r="G71" s="364"/>
      <c r="H71" s="364"/>
      <c r="I71" s="364"/>
      <c r="J71" s="364"/>
      <c r="K71" s="364"/>
      <c r="L71" s="364"/>
      <c r="M71" s="364"/>
      <c r="N71" s="364"/>
      <c r="O71" s="361">
        <f t="shared" ref="O71:AZ71" ca="1" si="40">$O$14*C$11*$C$3</f>
        <v>54000</v>
      </c>
      <c r="P71" s="362">
        <f t="shared" ca="1" si="40"/>
        <v>60537.132877519085</v>
      </c>
      <c r="Q71" s="362">
        <f t="shared" ca="1" si="40"/>
        <v>67346.847070345859</v>
      </c>
      <c r="R71" s="362">
        <f t="shared" ca="1" si="40"/>
        <v>74198.472134786294</v>
      </c>
      <c r="S71" s="362">
        <f t="shared" ca="1" si="40"/>
        <v>77398.672730691047</v>
      </c>
      <c r="T71" s="362">
        <f t="shared" ca="1" si="40"/>
        <v>79729.475762305374</v>
      </c>
      <c r="U71" s="362">
        <f t="shared" ca="1" si="40"/>
        <v>81111.226382983121</v>
      </c>
      <c r="V71" s="362">
        <f t="shared" ca="1" si="40"/>
        <v>81608.150900426626</v>
      </c>
      <c r="W71" s="362">
        <f t="shared" ca="1" si="40"/>
        <v>81397.946678678622</v>
      </c>
      <c r="X71" s="362">
        <f t="shared" ca="1" si="40"/>
        <v>80503.456408954327</v>
      </c>
      <c r="Y71" s="362">
        <f t="shared" ca="1" si="40"/>
        <v>79015.573176825346</v>
      </c>
      <c r="Z71" s="362">
        <f t="shared" ca="1" si="40"/>
        <v>76981.937790293916</v>
      </c>
      <c r="AA71" s="362">
        <f t="shared" ca="1" si="40"/>
        <v>74488.858192942964</v>
      </c>
      <c r="AB71" s="362">
        <f t="shared" ca="1" si="40"/>
        <v>71641.883420391445</v>
      </c>
      <c r="AC71" s="362">
        <f t="shared" ca="1" si="40"/>
        <v>68365.697228998222</v>
      </c>
      <c r="AD71" s="362">
        <f t="shared" ca="1" si="40"/>
        <v>64679.912827187974</v>
      </c>
      <c r="AE71" s="362">
        <f t="shared" ca="1" si="40"/>
        <v>60580.859173123165</v>
      </c>
      <c r="AF71" s="362">
        <f t="shared" ca="1" si="40"/>
        <v>55997.579978215421</v>
      </c>
      <c r="AG71" s="362">
        <f t="shared" ca="1" si="40"/>
        <v>50975.288834133462</v>
      </c>
      <c r="AH71" s="362">
        <f t="shared" ca="1" si="40"/>
        <v>45408.284320789709</v>
      </c>
      <c r="AI71" s="362">
        <f t="shared" ca="1" si="40"/>
        <v>39341.826900198466</v>
      </c>
      <c r="AJ71" s="362">
        <f t="shared" ca="1" si="40"/>
        <v>32692.735637163816</v>
      </c>
      <c r="AK71" s="362">
        <f t="shared" ca="1" si="40"/>
        <v>25447.690225546168</v>
      </c>
      <c r="AL71" s="362">
        <f t="shared" ca="1" si="40"/>
        <v>21600</v>
      </c>
      <c r="AM71" s="362">
        <f t="shared" ca="1" si="40"/>
        <v>21600</v>
      </c>
      <c r="AN71" s="362">
        <f t="shared" ca="1" si="40"/>
        <v>21600</v>
      </c>
      <c r="AO71" s="362">
        <f t="shared" ca="1" si="40"/>
        <v>21600</v>
      </c>
      <c r="AP71" s="362">
        <f t="shared" ca="1" si="40"/>
        <v>21600</v>
      </c>
      <c r="AQ71" s="362">
        <f t="shared" ca="1" si="40"/>
        <v>21600</v>
      </c>
      <c r="AR71" s="362">
        <f t="shared" ca="1" si="40"/>
        <v>21600</v>
      </c>
      <c r="AS71" s="362">
        <f t="shared" ca="1" si="40"/>
        <v>21600</v>
      </c>
      <c r="AT71" s="362">
        <f t="shared" ca="1" si="40"/>
        <v>21600</v>
      </c>
      <c r="AU71" s="362">
        <f t="shared" ca="1" si="40"/>
        <v>21600</v>
      </c>
      <c r="AV71" s="362">
        <f t="shared" ca="1" si="40"/>
        <v>21600</v>
      </c>
      <c r="AW71" s="362">
        <f t="shared" ca="1" si="40"/>
        <v>21600</v>
      </c>
      <c r="AX71" s="362">
        <f t="shared" ca="1" si="40"/>
        <v>21600</v>
      </c>
      <c r="AY71" s="362">
        <f t="shared" ca="1" si="40"/>
        <v>21600</v>
      </c>
      <c r="AZ71" s="363">
        <f t="shared" ca="1" si="40"/>
        <v>21600</v>
      </c>
    </row>
    <row r="72" spans="1:52" hidden="1" outlineLevel="1">
      <c r="A72" s="67" t="s">
        <v>166</v>
      </c>
      <c r="B72" s="201"/>
      <c r="C72" s="360"/>
      <c r="D72" s="364"/>
      <c r="E72" s="364"/>
      <c r="F72" s="364"/>
      <c r="G72" s="364"/>
      <c r="H72" s="364"/>
      <c r="I72" s="364"/>
      <c r="J72" s="364"/>
      <c r="K72" s="364"/>
      <c r="L72" s="374"/>
      <c r="M72" s="374"/>
      <c r="N72" s="374"/>
      <c r="O72" s="374"/>
      <c r="P72" s="361">
        <f t="shared" ref="P72:AZ72" ca="1" si="41">$P$14*C$11*$C$3</f>
        <v>0</v>
      </c>
      <c r="Q72" s="362">
        <f t="shared" ca="1" si="41"/>
        <v>0</v>
      </c>
      <c r="R72" s="362">
        <f t="shared" ca="1" si="41"/>
        <v>0</v>
      </c>
      <c r="S72" s="362">
        <f t="shared" ca="1" si="41"/>
        <v>0</v>
      </c>
      <c r="T72" s="362">
        <f t="shared" ca="1" si="41"/>
        <v>0</v>
      </c>
      <c r="U72" s="362">
        <f t="shared" ca="1" si="41"/>
        <v>0</v>
      </c>
      <c r="V72" s="362">
        <f t="shared" ca="1" si="41"/>
        <v>0</v>
      </c>
      <c r="W72" s="362">
        <f t="shared" ca="1" si="41"/>
        <v>0</v>
      </c>
      <c r="X72" s="362">
        <f t="shared" ca="1" si="41"/>
        <v>0</v>
      </c>
      <c r="Y72" s="362">
        <f t="shared" ca="1" si="41"/>
        <v>0</v>
      </c>
      <c r="Z72" s="362">
        <f t="shared" ca="1" si="41"/>
        <v>0</v>
      </c>
      <c r="AA72" s="362">
        <f t="shared" ca="1" si="41"/>
        <v>0</v>
      </c>
      <c r="AB72" s="362">
        <f t="shared" ca="1" si="41"/>
        <v>0</v>
      </c>
      <c r="AC72" s="362">
        <f t="shared" ca="1" si="41"/>
        <v>0</v>
      </c>
      <c r="AD72" s="362">
        <f t="shared" ca="1" si="41"/>
        <v>0</v>
      </c>
      <c r="AE72" s="362">
        <f t="shared" ca="1" si="41"/>
        <v>0</v>
      </c>
      <c r="AF72" s="362">
        <f t="shared" ca="1" si="41"/>
        <v>0</v>
      </c>
      <c r="AG72" s="362">
        <f t="shared" ca="1" si="41"/>
        <v>0</v>
      </c>
      <c r="AH72" s="362">
        <f t="shared" ca="1" si="41"/>
        <v>0</v>
      </c>
      <c r="AI72" s="362">
        <f t="shared" ca="1" si="41"/>
        <v>0</v>
      </c>
      <c r="AJ72" s="362">
        <f t="shared" ca="1" si="41"/>
        <v>0</v>
      </c>
      <c r="AK72" s="362">
        <f t="shared" ca="1" si="41"/>
        <v>0</v>
      </c>
      <c r="AL72" s="362">
        <f t="shared" ca="1" si="41"/>
        <v>0</v>
      </c>
      <c r="AM72" s="362">
        <f t="shared" ca="1" si="41"/>
        <v>0</v>
      </c>
      <c r="AN72" s="362">
        <f t="shared" ca="1" si="41"/>
        <v>0</v>
      </c>
      <c r="AO72" s="362">
        <f t="shared" ca="1" si="41"/>
        <v>0</v>
      </c>
      <c r="AP72" s="362">
        <f t="shared" ca="1" si="41"/>
        <v>0</v>
      </c>
      <c r="AQ72" s="362">
        <f t="shared" ca="1" si="41"/>
        <v>0</v>
      </c>
      <c r="AR72" s="362">
        <f t="shared" ca="1" si="41"/>
        <v>0</v>
      </c>
      <c r="AS72" s="362">
        <f t="shared" ca="1" si="41"/>
        <v>0</v>
      </c>
      <c r="AT72" s="362">
        <f t="shared" ca="1" si="41"/>
        <v>0</v>
      </c>
      <c r="AU72" s="362">
        <f t="shared" ca="1" si="41"/>
        <v>0</v>
      </c>
      <c r="AV72" s="362">
        <f t="shared" ca="1" si="41"/>
        <v>0</v>
      </c>
      <c r="AW72" s="362">
        <f t="shared" ca="1" si="41"/>
        <v>0</v>
      </c>
      <c r="AX72" s="362">
        <f t="shared" ca="1" si="41"/>
        <v>0</v>
      </c>
      <c r="AY72" s="362">
        <f t="shared" ca="1" si="41"/>
        <v>0</v>
      </c>
      <c r="AZ72" s="363">
        <f t="shared" ca="1" si="41"/>
        <v>0</v>
      </c>
    </row>
    <row r="73" spans="1:52" hidden="1" outlineLevel="1">
      <c r="A73" s="355" t="s">
        <v>167</v>
      </c>
      <c r="B73" s="201"/>
      <c r="C73" s="365"/>
      <c r="D73" s="366"/>
      <c r="E73" s="366"/>
      <c r="F73" s="366"/>
      <c r="G73" s="366"/>
      <c r="H73" s="366"/>
      <c r="I73" s="366"/>
      <c r="J73" s="366"/>
      <c r="K73" s="366"/>
      <c r="L73" s="375"/>
      <c r="M73" s="375"/>
      <c r="N73" s="375"/>
      <c r="O73" s="375"/>
      <c r="P73" s="366"/>
      <c r="Q73" s="367">
        <f t="shared" ref="Q73:AZ73" ca="1" si="42">$Q$14*C$11*$C$3</f>
        <v>0</v>
      </c>
      <c r="R73" s="368">
        <f t="shared" ca="1" si="42"/>
        <v>0</v>
      </c>
      <c r="S73" s="368">
        <f t="shared" ca="1" si="42"/>
        <v>0</v>
      </c>
      <c r="T73" s="368">
        <f t="shared" ca="1" si="42"/>
        <v>0</v>
      </c>
      <c r="U73" s="368">
        <f t="shared" ca="1" si="42"/>
        <v>0</v>
      </c>
      <c r="V73" s="368">
        <f t="shared" ca="1" si="42"/>
        <v>0</v>
      </c>
      <c r="W73" s="368">
        <f t="shared" ca="1" si="42"/>
        <v>0</v>
      </c>
      <c r="X73" s="368">
        <f t="shared" ca="1" si="42"/>
        <v>0</v>
      </c>
      <c r="Y73" s="368">
        <f t="shared" ca="1" si="42"/>
        <v>0</v>
      </c>
      <c r="Z73" s="368">
        <f t="shared" ca="1" si="42"/>
        <v>0</v>
      </c>
      <c r="AA73" s="368">
        <f t="shared" ca="1" si="42"/>
        <v>0</v>
      </c>
      <c r="AB73" s="368">
        <f t="shared" ca="1" si="42"/>
        <v>0</v>
      </c>
      <c r="AC73" s="368">
        <f t="shared" ca="1" si="42"/>
        <v>0</v>
      </c>
      <c r="AD73" s="368">
        <f t="shared" ca="1" si="42"/>
        <v>0</v>
      </c>
      <c r="AE73" s="368">
        <f t="shared" ca="1" si="42"/>
        <v>0</v>
      </c>
      <c r="AF73" s="368">
        <f t="shared" ca="1" si="42"/>
        <v>0</v>
      </c>
      <c r="AG73" s="368">
        <f t="shared" ca="1" si="42"/>
        <v>0</v>
      </c>
      <c r="AH73" s="368">
        <f t="shared" ca="1" si="42"/>
        <v>0</v>
      </c>
      <c r="AI73" s="368">
        <f t="shared" ca="1" si="42"/>
        <v>0</v>
      </c>
      <c r="AJ73" s="368">
        <f t="shared" ca="1" si="42"/>
        <v>0</v>
      </c>
      <c r="AK73" s="368">
        <f t="shared" ca="1" si="42"/>
        <v>0</v>
      </c>
      <c r="AL73" s="368">
        <f t="shared" ca="1" si="42"/>
        <v>0</v>
      </c>
      <c r="AM73" s="368">
        <f t="shared" ca="1" si="42"/>
        <v>0</v>
      </c>
      <c r="AN73" s="368">
        <f t="shared" ca="1" si="42"/>
        <v>0</v>
      </c>
      <c r="AO73" s="368">
        <f t="shared" ca="1" si="42"/>
        <v>0</v>
      </c>
      <c r="AP73" s="368">
        <f t="shared" ca="1" si="42"/>
        <v>0</v>
      </c>
      <c r="AQ73" s="368">
        <f t="shared" ca="1" si="42"/>
        <v>0</v>
      </c>
      <c r="AR73" s="368">
        <f t="shared" ca="1" si="42"/>
        <v>0</v>
      </c>
      <c r="AS73" s="368">
        <f t="shared" ca="1" si="42"/>
        <v>0</v>
      </c>
      <c r="AT73" s="368">
        <f t="shared" ca="1" si="42"/>
        <v>0</v>
      </c>
      <c r="AU73" s="368">
        <f t="shared" ca="1" si="42"/>
        <v>0</v>
      </c>
      <c r="AV73" s="368">
        <f t="shared" ca="1" si="42"/>
        <v>0</v>
      </c>
      <c r="AW73" s="368">
        <f t="shared" ca="1" si="42"/>
        <v>0</v>
      </c>
      <c r="AX73" s="368">
        <f t="shared" ca="1" si="42"/>
        <v>0</v>
      </c>
      <c r="AY73" s="368">
        <f t="shared" ca="1" si="42"/>
        <v>0</v>
      </c>
      <c r="AZ73" s="369">
        <f t="shared" ca="1" si="42"/>
        <v>0</v>
      </c>
    </row>
    <row r="74" spans="1:52" hidden="1" outlineLevel="1">
      <c r="A74" s="376"/>
      <c r="B74" s="314"/>
      <c r="C74" s="377"/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252"/>
      <c r="Q74" s="378"/>
      <c r="R74" s="378"/>
      <c r="S74" s="378"/>
      <c r="T74" s="378"/>
      <c r="U74" s="378"/>
      <c r="V74" s="378"/>
      <c r="X74" s="67"/>
      <c r="Y74" s="67"/>
      <c r="Z74" s="67"/>
      <c r="AA74" s="67"/>
      <c r="AB74" s="67"/>
      <c r="AC74" s="67"/>
      <c r="AD74" s="67"/>
      <c r="AE74" s="67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</row>
    <row r="75" spans="1:52" hidden="1" outlineLevel="1">
      <c r="A75" s="83" t="s">
        <v>168</v>
      </c>
      <c r="B75" s="201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271"/>
      <c r="X75" s="67"/>
      <c r="Y75" s="67"/>
      <c r="Z75" s="67"/>
      <c r="AA75" s="67"/>
      <c r="AB75" s="67"/>
      <c r="AC75" s="67"/>
      <c r="AD75" s="67"/>
      <c r="AE75" s="67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</row>
    <row r="76" spans="1:52" hidden="1" outlineLevel="1">
      <c r="A76" s="67" t="s">
        <v>151</v>
      </c>
      <c r="B76" s="201"/>
      <c r="C76" s="379">
        <f>C$15</f>
        <v>0.05</v>
      </c>
      <c r="D76" s="380">
        <f t="shared" ref="D76:AG84" si="43">D$15</f>
        <v>0</v>
      </c>
      <c r="E76" s="380">
        <f t="shared" si="43"/>
        <v>0</v>
      </c>
      <c r="F76" s="380">
        <f t="shared" si="43"/>
        <v>0</v>
      </c>
      <c r="G76" s="380">
        <f t="shared" si="43"/>
        <v>0.05</v>
      </c>
      <c r="H76" s="380">
        <f t="shared" si="43"/>
        <v>0</v>
      </c>
      <c r="I76" s="380">
        <f t="shared" si="43"/>
        <v>0.05</v>
      </c>
      <c r="J76" s="380">
        <f t="shared" si="43"/>
        <v>0</v>
      </c>
      <c r="K76" s="380">
        <f t="shared" si="43"/>
        <v>0</v>
      </c>
      <c r="L76" s="380">
        <f t="shared" si="43"/>
        <v>0.05</v>
      </c>
      <c r="M76" s="380">
        <f t="shared" si="43"/>
        <v>0</v>
      </c>
      <c r="N76" s="380">
        <f t="shared" si="43"/>
        <v>0</v>
      </c>
      <c r="O76" s="380">
        <f t="shared" si="43"/>
        <v>0</v>
      </c>
      <c r="P76" s="380">
        <f t="shared" si="43"/>
        <v>0</v>
      </c>
      <c r="Q76" s="380">
        <f t="shared" si="43"/>
        <v>0</v>
      </c>
      <c r="R76" s="380">
        <f t="shared" si="43"/>
        <v>0</v>
      </c>
      <c r="S76" s="380">
        <f t="shared" si="43"/>
        <v>0</v>
      </c>
      <c r="T76" s="380">
        <f t="shared" si="43"/>
        <v>0</v>
      </c>
      <c r="U76" s="380">
        <f t="shared" si="43"/>
        <v>0</v>
      </c>
      <c r="V76" s="380">
        <f t="shared" si="43"/>
        <v>0</v>
      </c>
      <c r="W76" s="381">
        <f t="shared" si="43"/>
        <v>0</v>
      </c>
      <c r="X76" s="381">
        <f t="shared" si="43"/>
        <v>0</v>
      </c>
      <c r="Y76" s="381">
        <f t="shared" si="43"/>
        <v>0</v>
      </c>
      <c r="Z76" s="381">
        <f t="shared" si="43"/>
        <v>0</v>
      </c>
      <c r="AA76" s="381">
        <f t="shared" si="43"/>
        <v>0</v>
      </c>
      <c r="AB76" s="381">
        <f t="shared" si="43"/>
        <v>0</v>
      </c>
      <c r="AC76" s="381">
        <f t="shared" si="43"/>
        <v>0</v>
      </c>
      <c r="AD76" s="381">
        <f t="shared" si="43"/>
        <v>0</v>
      </c>
      <c r="AE76" s="381">
        <f t="shared" si="43"/>
        <v>0</v>
      </c>
      <c r="AF76" s="381">
        <f t="shared" si="43"/>
        <v>0</v>
      </c>
      <c r="AG76" s="381">
        <f t="shared" si="43"/>
        <v>0</v>
      </c>
      <c r="AH76" s="381">
        <f t="shared" ref="AG76:AZ85" si="44">AH$15</f>
        <v>0</v>
      </c>
      <c r="AI76" s="381">
        <f t="shared" si="44"/>
        <v>0</v>
      </c>
      <c r="AJ76" s="381">
        <f t="shared" si="44"/>
        <v>0</v>
      </c>
      <c r="AK76" s="381">
        <f t="shared" si="44"/>
        <v>0</v>
      </c>
      <c r="AL76" s="381">
        <f t="shared" si="44"/>
        <v>0</v>
      </c>
      <c r="AM76" s="381">
        <f t="shared" si="44"/>
        <v>0</v>
      </c>
      <c r="AN76" s="381">
        <f t="shared" si="44"/>
        <v>0</v>
      </c>
      <c r="AO76" s="381">
        <f t="shared" si="44"/>
        <v>0</v>
      </c>
      <c r="AP76" s="381">
        <f t="shared" si="44"/>
        <v>0</v>
      </c>
      <c r="AQ76" s="381">
        <f t="shared" si="44"/>
        <v>0</v>
      </c>
      <c r="AR76" s="381">
        <f t="shared" si="44"/>
        <v>0</v>
      </c>
      <c r="AS76" s="381">
        <f t="shared" si="44"/>
        <v>0</v>
      </c>
      <c r="AT76" s="381">
        <f t="shared" si="44"/>
        <v>0</v>
      </c>
      <c r="AU76" s="381">
        <f t="shared" si="44"/>
        <v>0</v>
      </c>
      <c r="AV76" s="381">
        <f t="shared" si="44"/>
        <v>0</v>
      </c>
      <c r="AW76" s="381">
        <f t="shared" si="44"/>
        <v>0</v>
      </c>
      <c r="AX76" s="381">
        <f t="shared" si="44"/>
        <v>0</v>
      </c>
      <c r="AY76" s="381">
        <f t="shared" si="44"/>
        <v>0</v>
      </c>
      <c r="AZ76" s="382">
        <f t="shared" si="44"/>
        <v>0</v>
      </c>
    </row>
    <row r="77" spans="1:52" hidden="1" outlineLevel="1">
      <c r="A77" s="67" t="s">
        <v>152</v>
      </c>
      <c r="B77" s="201"/>
      <c r="C77" s="383"/>
      <c r="D77" s="384">
        <f>SUM(C$15:D$15)</f>
        <v>0.05</v>
      </c>
      <c r="E77" s="385">
        <f t="shared" si="43"/>
        <v>0</v>
      </c>
      <c r="F77" s="385">
        <f t="shared" si="43"/>
        <v>0</v>
      </c>
      <c r="G77" s="385">
        <f t="shared" si="43"/>
        <v>0.05</v>
      </c>
      <c r="H77" s="385">
        <f t="shared" si="43"/>
        <v>0</v>
      </c>
      <c r="I77" s="385">
        <f t="shared" si="43"/>
        <v>0.05</v>
      </c>
      <c r="J77" s="385">
        <f t="shared" si="43"/>
        <v>0</v>
      </c>
      <c r="K77" s="385">
        <f t="shared" si="43"/>
        <v>0</v>
      </c>
      <c r="L77" s="385">
        <f t="shared" si="43"/>
        <v>0.05</v>
      </c>
      <c r="M77" s="385">
        <f t="shared" si="43"/>
        <v>0</v>
      </c>
      <c r="N77" s="385">
        <f t="shared" si="43"/>
        <v>0</v>
      </c>
      <c r="O77" s="385">
        <f t="shared" si="43"/>
        <v>0</v>
      </c>
      <c r="P77" s="385">
        <f t="shared" si="43"/>
        <v>0</v>
      </c>
      <c r="Q77" s="385">
        <f t="shared" si="43"/>
        <v>0</v>
      </c>
      <c r="R77" s="385">
        <f t="shared" si="43"/>
        <v>0</v>
      </c>
      <c r="S77" s="385">
        <f t="shared" si="43"/>
        <v>0</v>
      </c>
      <c r="T77" s="385">
        <f t="shared" si="43"/>
        <v>0</v>
      </c>
      <c r="U77" s="385">
        <f t="shared" si="43"/>
        <v>0</v>
      </c>
      <c r="V77" s="385">
        <f t="shared" si="43"/>
        <v>0</v>
      </c>
      <c r="W77" s="18">
        <f t="shared" si="43"/>
        <v>0</v>
      </c>
      <c r="X77" s="18">
        <f t="shared" si="43"/>
        <v>0</v>
      </c>
      <c r="Y77" s="18">
        <f t="shared" si="43"/>
        <v>0</v>
      </c>
      <c r="Z77" s="18">
        <f t="shared" si="43"/>
        <v>0</v>
      </c>
      <c r="AA77" s="18">
        <f t="shared" si="43"/>
        <v>0</v>
      </c>
      <c r="AB77" s="18">
        <f t="shared" si="43"/>
        <v>0</v>
      </c>
      <c r="AC77" s="18">
        <f t="shared" si="43"/>
        <v>0</v>
      </c>
      <c r="AD77" s="18">
        <f t="shared" si="43"/>
        <v>0</v>
      </c>
      <c r="AE77" s="18">
        <f t="shared" si="43"/>
        <v>0</v>
      </c>
      <c r="AF77" s="18">
        <f t="shared" si="43"/>
        <v>0</v>
      </c>
      <c r="AG77" s="18">
        <f t="shared" si="44"/>
        <v>0</v>
      </c>
      <c r="AH77" s="18">
        <f t="shared" si="44"/>
        <v>0</v>
      </c>
      <c r="AI77" s="18">
        <f t="shared" si="44"/>
        <v>0</v>
      </c>
      <c r="AJ77" s="18">
        <f t="shared" si="44"/>
        <v>0</v>
      </c>
      <c r="AK77" s="18">
        <f t="shared" si="44"/>
        <v>0</v>
      </c>
      <c r="AL77" s="18">
        <f t="shared" si="44"/>
        <v>0</v>
      </c>
      <c r="AM77" s="18">
        <f t="shared" si="44"/>
        <v>0</v>
      </c>
      <c r="AN77" s="18">
        <f t="shared" si="44"/>
        <v>0</v>
      </c>
      <c r="AO77" s="18">
        <f t="shared" si="44"/>
        <v>0</v>
      </c>
      <c r="AP77" s="18">
        <f t="shared" si="44"/>
        <v>0</v>
      </c>
      <c r="AQ77" s="18">
        <f t="shared" si="44"/>
        <v>0</v>
      </c>
      <c r="AR77" s="18">
        <f t="shared" si="44"/>
        <v>0</v>
      </c>
      <c r="AS77" s="18">
        <f t="shared" si="44"/>
        <v>0</v>
      </c>
      <c r="AT77" s="18">
        <f t="shared" si="44"/>
        <v>0</v>
      </c>
      <c r="AU77" s="18">
        <f t="shared" si="44"/>
        <v>0</v>
      </c>
      <c r="AV77" s="18">
        <f t="shared" si="44"/>
        <v>0</v>
      </c>
      <c r="AW77" s="18">
        <f t="shared" si="44"/>
        <v>0</v>
      </c>
      <c r="AX77" s="18">
        <f t="shared" si="44"/>
        <v>0</v>
      </c>
      <c r="AY77" s="18">
        <f t="shared" si="44"/>
        <v>0</v>
      </c>
      <c r="AZ77" s="386">
        <f t="shared" si="44"/>
        <v>0</v>
      </c>
    </row>
    <row r="78" spans="1:52" hidden="1" outlineLevel="1">
      <c r="A78" s="67" t="s">
        <v>153</v>
      </c>
      <c r="B78" s="201"/>
      <c r="C78" s="383"/>
      <c r="D78" s="387"/>
      <c r="E78" s="384">
        <f>SUM(C$15:E$15)</f>
        <v>0.05</v>
      </c>
      <c r="F78" s="385">
        <f t="shared" si="43"/>
        <v>0</v>
      </c>
      <c r="G78" s="385">
        <f t="shared" si="43"/>
        <v>0.05</v>
      </c>
      <c r="H78" s="385">
        <f t="shared" si="43"/>
        <v>0</v>
      </c>
      <c r="I78" s="385">
        <f t="shared" si="43"/>
        <v>0.05</v>
      </c>
      <c r="J78" s="385">
        <f t="shared" si="43"/>
        <v>0</v>
      </c>
      <c r="K78" s="385">
        <f t="shared" si="43"/>
        <v>0</v>
      </c>
      <c r="L78" s="385">
        <f t="shared" si="43"/>
        <v>0.05</v>
      </c>
      <c r="M78" s="385">
        <f t="shared" si="43"/>
        <v>0</v>
      </c>
      <c r="N78" s="385">
        <f t="shared" si="43"/>
        <v>0</v>
      </c>
      <c r="O78" s="385">
        <f t="shared" si="43"/>
        <v>0</v>
      </c>
      <c r="P78" s="385">
        <f t="shared" si="43"/>
        <v>0</v>
      </c>
      <c r="Q78" s="385">
        <f t="shared" si="43"/>
        <v>0</v>
      </c>
      <c r="R78" s="385">
        <f t="shared" si="43"/>
        <v>0</v>
      </c>
      <c r="S78" s="385">
        <f t="shared" si="43"/>
        <v>0</v>
      </c>
      <c r="T78" s="385">
        <f t="shared" si="43"/>
        <v>0</v>
      </c>
      <c r="U78" s="385">
        <f t="shared" si="43"/>
        <v>0</v>
      </c>
      <c r="V78" s="385">
        <f t="shared" si="43"/>
        <v>0</v>
      </c>
      <c r="W78" s="18">
        <f t="shared" si="43"/>
        <v>0</v>
      </c>
      <c r="X78" s="18">
        <f t="shared" si="43"/>
        <v>0</v>
      </c>
      <c r="Y78" s="18">
        <f t="shared" si="43"/>
        <v>0</v>
      </c>
      <c r="Z78" s="18">
        <f t="shared" si="43"/>
        <v>0</v>
      </c>
      <c r="AA78" s="18">
        <f t="shared" si="43"/>
        <v>0</v>
      </c>
      <c r="AB78" s="18">
        <f t="shared" si="43"/>
        <v>0</v>
      </c>
      <c r="AC78" s="18">
        <f t="shared" si="43"/>
        <v>0</v>
      </c>
      <c r="AD78" s="18">
        <f t="shared" si="43"/>
        <v>0</v>
      </c>
      <c r="AE78" s="18">
        <f t="shared" si="43"/>
        <v>0</v>
      </c>
      <c r="AF78" s="18">
        <f t="shared" si="43"/>
        <v>0</v>
      </c>
      <c r="AG78" s="18">
        <f t="shared" si="44"/>
        <v>0</v>
      </c>
      <c r="AH78" s="18">
        <f t="shared" si="44"/>
        <v>0</v>
      </c>
      <c r="AI78" s="18">
        <f t="shared" si="44"/>
        <v>0</v>
      </c>
      <c r="AJ78" s="18">
        <f t="shared" si="44"/>
        <v>0</v>
      </c>
      <c r="AK78" s="18">
        <f t="shared" si="44"/>
        <v>0</v>
      </c>
      <c r="AL78" s="18">
        <f t="shared" si="44"/>
        <v>0</v>
      </c>
      <c r="AM78" s="18">
        <f t="shared" si="44"/>
        <v>0</v>
      </c>
      <c r="AN78" s="18">
        <f t="shared" si="44"/>
        <v>0</v>
      </c>
      <c r="AO78" s="18">
        <f t="shared" si="44"/>
        <v>0</v>
      </c>
      <c r="AP78" s="18">
        <f t="shared" si="44"/>
        <v>0</v>
      </c>
      <c r="AQ78" s="18">
        <f t="shared" si="44"/>
        <v>0</v>
      </c>
      <c r="AR78" s="18">
        <f t="shared" si="44"/>
        <v>0</v>
      </c>
      <c r="AS78" s="18">
        <f t="shared" si="44"/>
        <v>0</v>
      </c>
      <c r="AT78" s="18">
        <f t="shared" si="44"/>
        <v>0</v>
      </c>
      <c r="AU78" s="18">
        <f t="shared" si="44"/>
        <v>0</v>
      </c>
      <c r="AV78" s="18">
        <f t="shared" si="44"/>
        <v>0</v>
      </c>
      <c r="AW78" s="18">
        <f t="shared" si="44"/>
        <v>0</v>
      </c>
      <c r="AX78" s="18">
        <f t="shared" si="44"/>
        <v>0</v>
      </c>
      <c r="AY78" s="18">
        <f t="shared" si="44"/>
        <v>0</v>
      </c>
      <c r="AZ78" s="386">
        <f t="shared" si="44"/>
        <v>0</v>
      </c>
    </row>
    <row r="79" spans="1:52" hidden="1" outlineLevel="1">
      <c r="A79" s="67" t="s">
        <v>154</v>
      </c>
      <c r="B79" s="201"/>
      <c r="C79" s="383"/>
      <c r="D79" s="387"/>
      <c r="E79" s="387"/>
      <c r="F79" s="384">
        <f>SUM(C$15:F$15)</f>
        <v>0.05</v>
      </c>
      <c r="G79" s="385">
        <f t="shared" si="43"/>
        <v>0.05</v>
      </c>
      <c r="H79" s="385">
        <f t="shared" si="43"/>
        <v>0</v>
      </c>
      <c r="I79" s="385">
        <f t="shared" si="43"/>
        <v>0.05</v>
      </c>
      <c r="J79" s="385">
        <f t="shared" si="43"/>
        <v>0</v>
      </c>
      <c r="K79" s="385">
        <f t="shared" si="43"/>
        <v>0</v>
      </c>
      <c r="L79" s="385">
        <f t="shared" si="43"/>
        <v>0.05</v>
      </c>
      <c r="M79" s="385">
        <f t="shared" si="43"/>
        <v>0</v>
      </c>
      <c r="N79" s="385">
        <f t="shared" si="43"/>
        <v>0</v>
      </c>
      <c r="O79" s="385">
        <f t="shared" si="43"/>
        <v>0</v>
      </c>
      <c r="P79" s="385">
        <f t="shared" si="43"/>
        <v>0</v>
      </c>
      <c r="Q79" s="385">
        <f t="shared" si="43"/>
        <v>0</v>
      </c>
      <c r="R79" s="385">
        <f t="shared" si="43"/>
        <v>0</v>
      </c>
      <c r="S79" s="385">
        <f t="shared" ref="S79:AH85" si="45">S$15</f>
        <v>0</v>
      </c>
      <c r="T79" s="385">
        <f t="shared" si="45"/>
        <v>0</v>
      </c>
      <c r="U79" s="385">
        <f t="shared" si="45"/>
        <v>0</v>
      </c>
      <c r="V79" s="385">
        <f t="shared" si="45"/>
        <v>0</v>
      </c>
      <c r="W79" s="18">
        <f t="shared" si="45"/>
        <v>0</v>
      </c>
      <c r="X79" s="18">
        <f t="shared" si="45"/>
        <v>0</v>
      </c>
      <c r="Y79" s="18">
        <f t="shared" si="45"/>
        <v>0</v>
      </c>
      <c r="Z79" s="18">
        <f t="shared" si="45"/>
        <v>0</v>
      </c>
      <c r="AA79" s="18">
        <f t="shared" si="45"/>
        <v>0</v>
      </c>
      <c r="AB79" s="18">
        <f t="shared" si="45"/>
        <v>0</v>
      </c>
      <c r="AC79" s="18">
        <f t="shared" si="45"/>
        <v>0</v>
      </c>
      <c r="AD79" s="18">
        <f t="shared" si="45"/>
        <v>0</v>
      </c>
      <c r="AE79" s="18">
        <f t="shared" si="45"/>
        <v>0</v>
      </c>
      <c r="AF79" s="18">
        <f t="shared" si="45"/>
        <v>0</v>
      </c>
      <c r="AG79" s="18">
        <f t="shared" si="45"/>
        <v>0</v>
      </c>
      <c r="AH79" s="18">
        <f t="shared" si="45"/>
        <v>0</v>
      </c>
      <c r="AI79" s="18">
        <f t="shared" si="44"/>
        <v>0</v>
      </c>
      <c r="AJ79" s="18">
        <f t="shared" si="44"/>
        <v>0</v>
      </c>
      <c r="AK79" s="18">
        <f t="shared" si="44"/>
        <v>0</v>
      </c>
      <c r="AL79" s="18">
        <f t="shared" si="44"/>
        <v>0</v>
      </c>
      <c r="AM79" s="18">
        <f t="shared" si="44"/>
        <v>0</v>
      </c>
      <c r="AN79" s="18">
        <f t="shared" si="44"/>
        <v>0</v>
      </c>
      <c r="AO79" s="18">
        <f t="shared" si="44"/>
        <v>0</v>
      </c>
      <c r="AP79" s="18">
        <f t="shared" si="44"/>
        <v>0</v>
      </c>
      <c r="AQ79" s="18">
        <f t="shared" si="44"/>
        <v>0</v>
      </c>
      <c r="AR79" s="18">
        <f t="shared" si="44"/>
        <v>0</v>
      </c>
      <c r="AS79" s="18">
        <f t="shared" si="44"/>
        <v>0</v>
      </c>
      <c r="AT79" s="18">
        <f t="shared" si="44"/>
        <v>0</v>
      </c>
      <c r="AU79" s="18">
        <f t="shared" si="44"/>
        <v>0</v>
      </c>
      <c r="AV79" s="18">
        <f t="shared" si="44"/>
        <v>0</v>
      </c>
      <c r="AW79" s="18">
        <f t="shared" si="44"/>
        <v>0</v>
      </c>
      <c r="AX79" s="18">
        <f t="shared" si="44"/>
        <v>0</v>
      </c>
      <c r="AY79" s="18">
        <f t="shared" si="44"/>
        <v>0</v>
      </c>
      <c r="AZ79" s="386">
        <f t="shared" si="44"/>
        <v>0</v>
      </c>
    </row>
    <row r="80" spans="1:52" hidden="1" outlineLevel="1">
      <c r="A80" s="67" t="s">
        <v>155</v>
      </c>
      <c r="B80" s="201"/>
      <c r="C80" s="383"/>
      <c r="D80" s="387"/>
      <c r="E80" s="387"/>
      <c r="F80" s="387"/>
      <c r="G80" s="384">
        <f>SUM(C$15:G$15)</f>
        <v>0.1</v>
      </c>
      <c r="H80" s="385">
        <f t="shared" si="43"/>
        <v>0</v>
      </c>
      <c r="I80" s="385">
        <f t="shared" si="43"/>
        <v>0.05</v>
      </c>
      <c r="J80" s="385">
        <f t="shared" si="43"/>
        <v>0</v>
      </c>
      <c r="K80" s="385">
        <f t="shared" si="43"/>
        <v>0</v>
      </c>
      <c r="L80" s="385">
        <f t="shared" si="43"/>
        <v>0.05</v>
      </c>
      <c r="M80" s="385">
        <f t="shared" ref="M80:AB85" si="46">M$15</f>
        <v>0</v>
      </c>
      <c r="N80" s="385">
        <f t="shared" si="46"/>
        <v>0</v>
      </c>
      <c r="O80" s="385">
        <f t="shared" si="46"/>
        <v>0</v>
      </c>
      <c r="P80" s="385">
        <f t="shared" si="46"/>
        <v>0</v>
      </c>
      <c r="Q80" s="385">
        <f t="shared" si="46"/>
        <v>0</v>
      </c>
      <c r="R80" s="385">
        <f t="shared" si="46"/>
        <v>0</v>
      </c>
      <c r="S80" s="385">
        <f t="shared" si="46"/>
        <v>0</v>
      </c>
      <c r="T80" s="385">
        <f t="shared" si="46"/>
        <v>0</v>
      </c>
      <c r="U80" s="385">
        <f t="shared" si="46"/>
        <v>0</v>
      </c>
      <c r="V80" s="385">
        <f t="shared" si="46"/>
        <v>0</v>
      </c>
      <c r="W80" s="18">
        <f t="shared" si="46"/>
        <v>0</v>
      </c>
      <c r="X80" s="18">
        <f t="shared" si="46"/>
        <v>0</v>
      </c>
      <c r="Y80" s="18">
        <f t="shared" si="46"/>
        <v>0</v>
      </c>
      <c r="Z80" s="18">
        <f t="shared" si="46"/>
        <v>0</v>
      </c>
      <c r="AA80" s="18">
        <f t="shared" si="46"/>
        <v>0</v>
      </c>
      <c r="AB80" s="18">
        <f t="shared" si="46"/>
        <v>0</v>
      </c>
      <c r="AC80" s="18">
        <f t="shared" si="45"/>
        <v>0</v>
      </c>
      <c r="AD80" s="18">
        <f t="shared" si="45"/>
        <v>0</v>
      </c>
      <c r="AE80" s="18">
        <f t="shared" si="45"/>
        <v>0</v>
      </c>
      <c r="AF80" s="18">
        <f t="shared" si="45"/>
        <v>0</v>
      </c>
      <c r="AG80" s="18">
        <f t="shared" si="44"/>
        <v>0</v>
      </c>
      <c r="AH80" s="18">
        <f t="shared" si="44"/>
        <v>0</v>
      </c>
      <c r="AI80" s="18">
        <f t="shared" si="44"/>
        <v>0</v>
      </c>
      <c r="AJ80" s="18">
        <f t="shared" si="44"/>
        <v>0</v>
      </c>
      <c r="AK80" s="18">
        <f t="shared" si="44"/>
        <v>0</v>
      </c>
      <c r="AL80" s="18">
        <f t="shared" si="44"/>
        <v>0</v>
      </c>
      <c r="AM80" s="18">
        <f t="shared" si="44"/>
        <v>0</v>
      </c>
      <c r="AN80" s="18">
        <f t="shared" si="44"/>
        <v>0</v>
      </c>
      <c r="AO80" s="18">
        <f t="shared" si="44"/>
        <v>0</v>
      </c>
      <c r="AP80" s="18">
        <f t="shared" si="44"/>
        <v>0</v>
      </c>
      <c r="AQ80" s="18">
        <f t="shared" si="44"/>
        <v>0</v>
      </c>
      <c r="AR80" s="18">
        <f t="shared" si="44"/>
        <v>0</v>
      </c>
      <c r="AS80" s="18">
        <f t="shared" si="44"/>
        <v>0</v>
      </c>
      <c r="AT80" s="18">
        <f t="shared" si="44"/>
        <v>0</v>
      </c>
      <c r="AU80" s="18">
        <f t="shared" si="44"/>
        <v>0</v>
      </c>
      <c r="AV80" s="18">
        <f t="shared" si="44"/>
        <v>0</v>
      </c>
      <c r="AW80" s="18">
        <f t="shared" si="44"/>
        <v>0</v>
      </c>
      <c r="AX80" s="18">
        <f t="shared" si="44"/>
        <v>0</v>
      </c>
      <c r="AY80" s="18">
        <f t="shared" si="44"/>
        <v>0</v>
      </c>
      <c r="AZ80" s="386">
        <f t="shared" si="44"/>
        <v>0</v>
      </c>
    </row>
    <row r="81" spans="1:52" hidden="1" outlineLevel="1">
      <c r="A81" s="67" t="s">
        <v>156</v>
      </c>
      <c r="B81" s="201"/>
      <c r="C81" s="383"/>
      <c r="D81" s="387"/>
      <c r="E81" s="387"/>
      <c r="F81" s="387"/>
      <c r="G81" s="387"/>
      <c r="H81" s="384">
        <f>SUM(C$15:H$15)</f>
        <v>0.1</v>
      </c>
      <c r="I81" s="385">
        <f t="shared" si="43"/>
        <v>0.05</v>
      </c>
      <c r="J81" s="385">
        <f t="shared" si="43"/>
        <v>0</v>
      </c>
      <c r="K81" s="385">
        <f t="shared" si="43"/>
        <v>0</v>
      </c>
      <c r="L81" s="385">
        <f t="shared" si="43"/>
        <v>0.05</v>
      </c>
      <c r="M81" s="385">
        <f t="shared" si="46"/>
        <v>0</v>
      </c>
      <c r="N81" s="385">
        <f t="shared" si="46"/>
        <v>0</v>
      </c>
      <c r="O81" s="385">
        <f t="shared" si="46"/>
        <v>0</v>
      </c>
      <c r="P81" s="385">
        <f t="shared" si="46"/>
        <v>0</v>
      </c>
      <c r="Q81" s="385">
        <f t="shared" si="46"/>
        <v>0</v>
      </c>
      <c r="R81" s="385">
        <f t="shared" si="46"/>
        <v>0</v>
      </c>
      <c r="S81" s="385">
        <f t="shared" si="46"/>
        <v>0</v>
      </c>
      <c r="T81" s="385">
        <f t="shared" si="46"/>
        <v>0</v>
      </c>
      <c r="U81" s="385">
        <f t="shared" si="46"/>
        <v>0</v>
      </c>
      <c r="V81" s="385">
        <f t="shared" si="46"/>
        <v>0</v>
      </c>
      <c r="W81" s="18">
        <f t="shared" si="46"/>
        <v>0</v>
      </c>
      <c r="X81" s="18">
        <f t="shared" si="46"/>
        <v>0</v>
      </c>
      <c r="Y81" s="18">
        <f t="shared" si="46"/>
        <v>0</v>
      </c>
      <c r="Z81" s="18">
        <f t="shared" si="46"/>
        <v>0</v>
      </c>
      <c r="AA81" s="18">
        <f t="shared" si="46"/>
        <v>0</v>
      </c>
      <c r="AB81" s="18">
        <f t="shared" si="46"/>
        <v>0</v>
      </c>
      <c r="AC81" s="18">
        <f t="shared" si="45"/>
        <v>0</v>
      </c>
      <c r="AD81" s="18">
        <f t="shared" si="45"/>
        <v>0</v>
      </c>
      <c r="AE81" s="18">
        <f t="shared" si="45"/>
        <v>0</v>
      </c>
      <c r="AF81" s="18">
        <f t="shared" si="45"/>
        <v>0</v>
      </c>
      <c r="AG81" s="18">
        <f t="shared" si="44"/>
        <v>0</v>
      </c>
      <c r="AH81" s="18">
        <f t="shared" si="44"/>
        <v>0</v>
      </c>
      <c r="AI81" s="18">
        <f t="shared" si="44"/>
        <v>0</v>
      </c>
      <c r="AJ81" s="18">
        <f t="shared" si="44"/>
        <v>0</v>
      </c>
      <c r="AK81" s="18">
        <f t="shared" si="44"/>
        <v>0</v>
      </c>
      <c r="AL81" s="18">
        <f t="shared" si="44"/>
        <v>0</v>
      </c>
      <c r="AM81" s="18">
        <f t="shared" si="44"/>
        <v>0</v>
      </c>
      <c r="AN81" s="18">
        <f t="shared" si="44"/>
        <v>0</v>
      </c>
      <c r="AO81" s="18">
        <f t="shared" si="44"/>
        <v>0</v>
      </c>
      <c r="AP81" s="18">
        <f t="shared" si="44"/>
        <v>0</v>
      </c>
      <c r="AQ81" s="18">
        <f t="shared" si="44"/>
        <v>0</v>
      </c>
      <c r="AR81" s="18">
        <f t="shared" si="44"/>
        <v>0</v>
      </c>
      <c r="AS81" s="18">
        <f t="shared" si="44"/>
        <v>0</v>
      </c>
      <c r="AT81" s="18">
        <f t="shared" si="44"/>
        <v>0</v>
      </c>
      <c r="AU81" s="18">
        <f t="shared" si="44"/>
        <v>0</v>
      </c>
      <c r="AV81" s="18">
        <f t="shared" si="44"/>
        <v>0</v>
      </c>
      <c r="AW81" s="18">
        <f t="shared" si="44"/>
        <v>0</v>
      </c>
      <c r="AX81" s="18">
        <f t="shared" si="44"/>
        <v>0</v>
      </c>
      <c r="AY81" s="18">
        <f t="shared" si="44"/>
        <v>0</v>
      </c>
      <c r="AZ81" s="386">
        <f t="shared" si="44"/>
        <v>0</v>
      </c>
    </row>
    <row r="82" spans="1:52" hidden="1" outlineLevel="1">
      <c r="A82" s="67" t="s">
        <v>157</v>
      </c>
      <c r="B82" s="201"/>
      <c r="C82" s="383"/>
      <c r="D82" s="387"/>
      <c r="E82" s="387"/>
      <c r="F82" s="387"/>
      <c r="G82" s="387"/>
      <c r="H82" s="387"/>
      <c r="I82" s="384">
        <f>SUM(C$15:I$15)</f>
        <v>0.15000000000000002</v>
      </c>
      <c r="J82" s="385">
        <f t="shared" si="43"/>
        <v>0</v>
      </c>
      <c r="K82" s="385">
        <f t="shared" si="43"/>
        <v>0</v>
      </c>
      <c r="L82" s="385">
        <f t="shared" si="43"/>
        <v>0.05</v>
      </c>
      <c r="M82" s="385">
        <f t="shared" si="46"/>
        <v>0</v>
      </c>
      <c r="N82" s="385">
        <f t="shared" si="46"/>
        <v>0</v>
      </c>
      <c r="O82" s="385">
        <f t="shared" si="46"/>
        <v>0</v>
      </c>
      <c r="P82" s="385">
        <f t="shared" si="46"/>
        <v>0</v>
      </c>
      <c r="Q82" s="385">
        <f t="shared" si="46"/>
        <v>0</v>
      </c>
      <c r="R82" s="385">
        <f t="shared" si="46"/>
        <v>0</v>
      </c>
      <c r="S82" s="385">
        <f t="shared" si="46"/>
        <v>0</v>
      </c>
      <c r="T82" s="385">
        <f t="shared" si="46"/>
        <v>0</v>
      </c>
      <c r="U82" s="385">
        <f t="shared" si="46"/>
        <v>0</v>
      </c>
      <c r="V82" s="385">
        <f t="shared" si="46"/>
        <v>0</v>
      </c>
      <c r="W82" s="18">
        <f t="shared" si="46"/>
        <v>0</v>
      </c>
      <c r="X82" s="18">
        <f t="shared" si="46"/>
        <v>0</v>
      </c>
      <c r="Y82" s="18">
        <f t="shared" si="46"/>
        <v>0</v>
      </c>
      <c r="Z82" s="18">
        <f t="shared" si="46"/>
        <v>0</v>
      </c>
      <c r="AA82" s="18">
        <f t="shared" si="46"/>
        <v>0</v>
      </c>
      <c r="AB82" s="18">
        <f t="shared" si="46"/>
        <v>0</v>
      </c>
      <c r="AC82" s="18">
        <f t="shared" si="45"/>
        <v>0</v>
      </c>
      <c r="AD82" s="18">
        <f t="shared" si="45"/>
        <v>0</v>
      </c>
      <c r="AE82" s="18">
        <f t="shared" si="45"/>
        <v>0</v>
      </c>
      <c r="AF82" s="18">
        <f t="shared" si="45"/>
        <v>0</v>
      </c>
      <c r="AG82" s="18">
        <f t="shared" si="44"/>
        <v>0</v>
      </c>
      <c r="AH82" s="18">
        <f t="shared" si="44"/>
        <v>0</v>
      </c>
      <c r="AI82" s="18">
        <f t="shared" si="44"/>
        <v>0</v>
      </c>
      <c r="AJ82" s="18">
        <f t="shared" si="44"/>
        <v>0</v>
      </c>
      <c r="AK82" s="18">
        <f t="shared" si="44"/>
        <v>0</v>
      </c>
      <c r="AL82" s="18">
        <f t="shared" si="44"/>
        <v>0</v>
      </c>
      <c r="AM82" s="18">
        <f t="shared" si="44"/>
        <v>0</v>
      </c>
      <c r="AN82" s="18">
        <f t="shared" si="44"/>
        <v>0</v>
      </c>
      <c r="AO82" s="18">
        <f t="shared" si="44"/>
        <v>0</v>
      </c>
      <c r="AP82" s="18">
        <f t="shared" si="44"/>
        <v>0</v>
      </c>
      <c r="AQ82" s="18">
        <f t="shared" si="44"/>
        <v>0</v>
      </c>
      <c r="AR82" s="18">
        <f t="shared" si="44"/>
        <v>0</v>
      </c>
      <c r="AS82" s="18">
        <f t="shared" si="44"/>
        <v>0</v>
      </c>
      <c r="AT82" s="18">
        <f t="shared" si="44"/>
        <v>0</v>
      </c>
      <c r="AU82" s="18">
        <f t="shared" si="44"/>
        <v>0</v>
      </c>
      <c r="AV82" s="18">
        <f t="shared" si="44"/>
        <v>0</v>
      </c>
      <c r="AW82" s="18">
        <f t="shared" si="44"/>
        <v>0</v>
      </c>
      <c r="AX82" s="18">
        <f t="shared" si="44"/>
        <v>0</v>
      </c>
      <c r="AY82" s="18">
        <f t="shared" si="44"/>
        <v>0</v>
      </c>
      <c r="AZ82" s="386">
        <f t="shared" si="44"/>
        <v>0</v>
      </c>
    </row>
    <row r="83" spans="1:52" hidden="1" outlineLevel="1">
      <c r="A83" s="67" t="s">
        <v>158</v>
      </c>
      <c r="B83" s="201"/>
      <c r="C83" s="383"/>
      <c r="D83" s="387"/>
      <c r="E83" s="387"/>
      <c r="F83" s="387"/>
      <c r="G83" s="387"/>
      <c r="H83" s="387"/>
      <c r="I83" s="387"/>
      <c r="J83" s="384">
        <f>SUM(C$15:J$15)</f>
        <v>0.15000000000000002</v>
      </c>
      <c r="K83" s="385">
        <f t="shared" si="43"/>
        <v>0</v>
      </c>
      <c r="L83" s="385">
        <f t="shared" si="43"/>
        <v>0.05</v>
      </c>
      <c r="M83" s="385">
        <f t="shared" si="46"/>
        <v>0</v>
      </c>
      <c r="N83" s="385">
        <f t="shared" si="46"/>
        <v>0</v>
      </c>
      <c r="O83" s="385">
        <f t="shared" si="46"/>
        <v>0</v>
      </c>
      <c r="P83" s="385">
        <f t="shared" si="46"/>
        <v>0</v>
      </c>
      <c r="Q83" s="385">
        <f t="shared" si="46"/>
        <v>0</v>
      </c>
      <c r="R83" s="385">
        <f t="shared" si="46"/>
        <v>0</v>
      </c>
      <c r="S83" s="385">
        <f t="shared" si="46"/>
        <v>0</v>
      </c>
      <c r="T83" s="385">
        <f t="shared" si="46"/>
        <v>0</v>
      </c>
      <c r="U83" s="385">
        <f t="shared" si="46"/>
        <v>0</v>
      </c>
      <c r="V83" s="385">
        <f t="shared" si="46"/>
        <v>0</v>
      </c>
      <c r="W83" s="18">
        <f t="shared" si="46"/>
        <v>0</v>
      </c>
      <c r="X83" s="18">
        <f t="shared" si="46"/>
        <v>0</v>
      </c>
      <c r="Y83" s="18">
        <f t="shared" si="46"/>
        <v>0</v>
      </c>
      <c r="Z83" s="18">
        <f t="shared" si="46"/>
        <v>0</v>
      </c>
      <c r="AA83" s="18">
        <f t="shared" si="46"/>
        <v>0</v>
      </c>
      <c r="AB83" s="18">
        <f t="shared" si="46"/>
        <v>0</v>
      </c>
      <c r="AC83" s="18">
        <f t="shared" si="45"/>
        <v>0</v>
      </c>
      <c r="AD83" s="18">
        <f t="shared" si="45"/>
        <v>0</v>
      </c>
      <c r="AE83" s="18">
        <f t="shared" si="45"/>
        <v>0</v>
      </c>
      <c r="AF83" s="18">
        <f t="shared" si="45"/>
        <v>0</v>
      </c>
      <c r="AG83" s="18">
        <f t="shared" si="44"/>
        <v>0</v>
      </c>
      <c r="AH83" s="18">
        <f t="shared" si="44"/>
        <v>0</v>
      </c>
      <c r="AI83" s="18">
        <f t="shared" si="44"/>
        <v>0</v>
      </c>
      <c r="AJ83" s="18">
        <f t="shared" si="44"/>
        <v>0</v>
      </c>
      <c r="AK83" s="18">
        <f t="shared" si="44"/>
        <v>0</v>
      </c>
      <c r="AL83" s="18">
        <f t="shared" si="44"/>
        <v>0</v>
      </c>
      <c r="AM83" s="18">
        <f t="shared" si="44"/>
        <v>0</v>
      </c>
      <c r="AN83" s="18">
        <f t="shared" si="44"/>
        <v>0</v>
      </c>
      <c r="AO83" s="18">
        <f t="shared" si="44"/>
        <v>0</v>
      </c>
      <c r="AP83" s="18">
        <f t="shared" si="44"/>
        <v>0</v>
      </c>
      <c r="AQ83" s="18">
        <f t="shared" si="44"/>
        <v>0</v>
      </c>
      <c r="AR83" s="18">
        <f t="shared" si="44"/>
        <v>0</v>
      </c>
      <c r="AS83" s="18">
        <f t="shared" si="44"/>
        <v>0</v>
      </c>
      <c r="AT83" s="18">
        <f t="shared" si="44"/>
        <v>0</v>
      </c>
      <c r="AU83" s="18">
        <f t="shared" si="44"/>
        <v>0</v>
      </c>
      <c r="AV83" s="18">
        <f t="shared" si="44"/>
        <v>0</v>
      </c>
      <c r="AW83" s="18">
        <f t="shared" si="44"/>
        <v>0</v>
      </c>
      <c r="AX83" s="18">
        <f t="shared" si="44"/>
        <v>0</v>
      </c>
      <c r="AY83" s="18">
        <f t="shared" si="44"/>
        <v>0</v>
      </c>
      <c r="AZ83" s="386">
        <f t="shared" si="44"/>
        <v>0</v>
      </c>
    </row>
    <row r="84" spans="1:52" hidden="1" outlineLevel="1">
      <c r="A84" s="67" t="s">
        <v>159</v>
      </c>
      <c r="B84" s="201"/>
      <c r="C84" s="383"/>
      <c r="D84" s="387"/>
      <c r="E84" s="387"/>
      <c r="F84" s="387"/>
      <c r="G84" s="387"/>
      <c r="H84" s="387"/>
      <c r="I84" s="387"/>
      <c r="J84" s="387"/>
      <c r="K84" s="384">
        <f>SUM(C$15:K$15)</f>
        <v>0.15000000000000002</v>
      </c>
      <c r="L84" s="385">
        <f t="shared" si="43"/>
        <v>0.05</v>
      </c>
      <c r="M84" s="385">
        <f t="shared" si="46"/>
        <v>0</v>
      </c>
      <c r="N84" s="385">
        <f t="shared" si="46"/>
        <v>0</v>
      </c>
      <c r="O84" s="385">
        <f t="shared" si="46"/>
        <v>0</v>
      </c>
      <c r="P84" s="385">
        <f t="shared" si="46"/>
        <v>0</v>
      </c>
      <c r="Q84" s="385">
        <f t="shared" si="46"/>
        <v>0</v>
      </c>
      <c r="R84" s="385">
        <f t="shared" si="46"/>
        <v>0</v>
      </c>
      <c r="S84" s="385">
        <f t="shared" si="46"/>
        <v>0</v>
      </c>
      <c r="T84" s="385">
        <f t="shared" si="46"/>
        <v>0</v>
      </c>
      <c r="U84" s="385">
        <f t="shared" si="46"/>
        <v>0</v>
      </c>
      <c r="V84" s="385">
        <f t="shared" si="46"/>
        <v>0</v>
      </c>
      <c r="W84" s="18">
        <f t="shared" si="46"/>
        <v>0</v>
      </c>
      <c r="X84" s="18">
        <f t="shared" si="46"/>
        <v>0</v>
      </c>
      <c r="Y84" s="18">
        <f t="shared" si="46"/>
        <v>0</v>
      </c>
      <c r="Z84" s="18">
        <f t="shared" si="46"/>
        <v>0</v>
      </c>
      <c r="AA84" s="18">
        <f t="shared" si="46"/>
        <v>0</v>
      </c>
      <c r="AB84" s="18">
        <f t="shared" si="46"/>
        <v>0</v>
      </c>
      <c r="AC84" s="18">
        <f t="shared" si="45"/>
        <v>0</v>
      </c>
      <c r="AD84" s="18">
        <f t="shared" si="45"/>
        <v>0</v>
      </c>
      <c r="AE84" s="18">
        <f t="shared" si="45"/>
        <v>0</v>
      </c>
      <c r="AF84" s="18">
        <f t="shared" si="45"/>
        <v>0</v>
      </c>
      <c r="AG84" s="18">
        <f t="shared" si="44"/>
        <v>0</v>
      </c>
      <c r="AH84" s="18">
        <f t="shared" si="44"/>
        <v>0</v>
      </c>
      <c r="AI84" s="18">
        <f t="shared" si="44"/>
        <v>0</v>
      </c>
      <c r="AJ84" s="18">
        <f t="shared" si="44"/>
        <v>0</v>
      </c>
      <c r="AK84" s="18">
        <f t="shared" si="44"/>
        <v>0</v>
      </c>
      <c r="AL84" s="18">
        <f t="shared" si="44"/>
        <v>0</v>
      </c>
      <c r="AM84" s="18">
        <f t="shared" si="44"/>
        <v>0</v>
      </c>
      <c r="AN84" s="18">
        <f t="shared" si="44"/>
        <v>0</v>
      </c>
      <c r="AO84" s="18">
        <f t="shared" si="44"/>
        <v>0</v>
      </c>
      <c r="AP84" s="18">
        <f t="shared" si="44"/>
        <v>0</v>
      </c>
      <c r="AQ84" s="18">
        <f t="shared" si="44"/>
        <v>0</v>
      </c>
      <c r="AR84" s="18">
        <f t="shared" si="44"/>
        <v>0</v>
      </c>
      <c r="AS84" s="18">
        <f t="shared" si="44"/>
        <v>0</v>
      </c>
      <c r="AT84" s="18">
        <f t="shared" si="44"/>
        <v>0</v>
      </c>
      <c r="AU84" s="18">
        <f t="shared" si="44"/>
        <v>0</v>
      </c>
      <c r="AV84" s="18">
        <f t="shared" si="44"/>
        <v>0</v>
      </c>
      <c r="AW84" s="18">
        <f t="shared" si="44"/>
        <v>0</v>
      </c>
      <c r="AX84" s="18">
        <f t="shared" si="44"/>
        <v>0</v>
      </c>
      <c r="AY84" s="18">
        <f t="shared" si="44"/>
        <v>0</v>
      </c>
      <c r="AZ84" s="386">
        <f t="shared" si="44"/>
        <v>0</v>
      </c>
    </row>
    <row r="85" spans="1:52" hidden="1" outlineLevel="1">
      <c r="A85" s="67" t="s">
        <v>160</v>
      </c>
      <c r="B85" s="201"/>
      <c r="C85" s="388"/>
      <c r="D85" s="389"/>
      <c r="E85" s="389"/>
      <c r="F85" s="389"/>
      <c r="G85" s="389"/>
      <c r="H85" s="389"/>
      <c r="I85" s="389"/>
      <c r="J85" s="389"/>
      <c r="K85" s="389"/>
      <c r="L85" s="390">
        <f>SUM(C$15:L$15)</f>
        <v>0.2</v>
      </c>
      <c r="M85" s="391">
        <f t="shared" si="46"/>
        <v>0</v>
      </c>
      <c r="N85" s="391">
        <f t="shared" si="46"/>
        <v>0</v>
      </c>
      <c r="O85" s="391">
        <f t="shared" si="46"/>
        <v>0</v>
      </c>
      <c r="P85" s="391">
        <f t="shared" si="46"/>
        <v>0</v>
      </c>
      <c r="Q85" s="391">
        <f t="shared" si="46"/>
        <v>0</v>
      </c>
      <c r="R85" s="391">
        <f t="shared" si="46"/>
        <v>0</v>
      </c>
      <c r="S85" s="391">
        <f t="shared" si="46"/>
        <v>0</v>
      </c>
      <c r="T85" s="391">
        <f t="shared" si="46"/>
        <v>0</v>
      </c>
      <c r="U85" s="391">
        <f t="shared" si="46"/>
        <v>0</v>
      </c>
      <c r="V85" s="391">
        <f t="shared" si="46"/>
        <v>0</v>
      </c>
      <c r="W85" s="392">
        <f t="shared" si="46"/>
        <v>0</v>
      </c>
      <c r="X85" s="392">
        <f t="shared" si="46"/>
        <v>0</v>
      </c>
      <c r="Y85" s="392">
        <f t="shared" si="46"/>
        <v>0</v>
      </c>
      <c r="Z85" s="392">
        <f t="shared" si="46"/>
        <v>0</v>
      </c>
      <c r="AA85" s="392">
        <f t="shared" si="46"/>
        <v>0</v>
      </c>
      <c r="AB85" s="392">
        <f t="shared" si="46"/>
        <v>0</v>
      </c>
      <c r="AC85" s="392">
        <f t="shared" si="45"/>
        <v>0</v>
      </c>
      <c r="AD85" s="392">
        <f t="shared" si="45"/>
        <v>0</v>
      </c>
      <c r="AE85" s="392">
        <f t="shared" si="45"/>
        <v>0</v>
      </c>
      <c r="AF85" s="392">
        <f t="shared" si="45"/>
        <v>0</v>
      </c>
      <c r="AG85" s="392">
        <f t="shared" si="44"/>
        <v>0</v>
      </c>
      <c r="AH85" s="392">
        <f t="shared" si="44"/>
        <v>0</v>
      </c>
      <c r="AI85" s="392">
        <f t="shared" si="44"/>
        <v>0</v>
      </c>
      <c r="AJ85" s="392">
        <f t="shared" si="44"/>
        <v>0</v>
      </c>
      <c r="AK85" s="392">
        <f t="shared" si="44"/>
        <v>0</v>
      </c>
      <c r="AL85" s="392">
        <f t="shared" si="44"/>
        <v>0</v>
      </c>
      <c r="AM85" s="392">
        <f t="shared" si="44"/>
        <v>0</v>
      </c>
      <c r="AN85" s="392">
        <f t="shared" si="44"/>
        <v>0</v>
      </c>
      <c r="AO85" s="392">
        <f t="shared" si="44"/>
        <v>0</v>
      </c>
      <c r="AP85" s="392">
        <f t="shared" si="44"/>
        <v>0</v>
      </c>
      <c r="AQ85" s="392">
        <f t="shared" si="44"/>
        <v>0</v>
      </c>
      <c r="AR85" s="392">
        <f t="shared" si="44"/>
        <v>0</v>
      </c>
      <c r="AS85" s="392">
        <f t="shared" si="44"/>
        <v>0</v>
      </c>
      <c r="AT85" s="392">
        <f t="shared" si="44"/>
        <v>0</v>
      </c>
      <c r="AU85" s="392">
        <f t="shared" si="44"/>
        <v>0</v>
      </c>
      <c r="AV85" s="392">
        <f t="shared" si="44"/>
        <v>0</v>
      </c>
      <c r="AW85" s="392">
        <f t="shared" si="44"/>
        <v>0</v>
      </c>
      <c r="AX85" s="392">
        <f t="shared" si="44"/>
        <v>0</v>
      </c>
      <c r="AY85" s="392">
        <f t="shared" si="44"/>
        <v>0</v>
      </c>
      <c r="AZ85" s="393">
        <f t="shared" si="44"/>
        <v>0</v>
      </c>
    </row>
    <row r="86" spans="1:52" hidden="1" outlineLevel="1">
      <c r="A86" s="67"/>
      <c r="B86" s="201"/>
      <c r="C86" s="385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spans="1:52" s="22" customFormat="1" hidden="1" outlineLevel="1">
      <c r="A87" s="83" t="s">
        <v>169</v>
      </c>
      <c r="C87" s="394"/>
      <c r="D87" s="394"/>
      <c r="E87" s="394"/>
      <c r="F87" s="394"/>
      <c r="G87" s="394"/>
      <c r="H87" s="394"/>
      <c r="I87" s="394"/>
      <c r="J87" s="394"/>
      <c r="K87" s="394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</row>
    <row r="88" spans="1:52" hidden="1" outlineLevel="1">
      <c r="A88" s="67" t="s">
        <v>151</v>
      </c>
      <c r="B88" s="201"/>
      <c r="C88" s="379">
        <f t="shared" ref="C88:AG88" si="47">C$15</f>
        <v>0.05</v>
      </c>
      <c r="D88" s="380">
        <f t="shared" si="47"/>
        <v>0</v>
      </c>
      <c r="E88" s="380">
        <f t="shared" si="47"/>
        <v>0</v>
      </c>
      <c r="F88" s="380">
        <f t="shared" si="47"/>
        <v>0</v>
      </c>
      <c r="G88" s="380">
        <f t="shared" si="47"/>
        <v>0.05</v>
      </c>
      <c r="H88" s="380">
        <f t="shared" si="47"/>
        <v>0</v>
      </c>
      <c r="I88" s="380">
        <f t="shared" si="47"/>
        <v>0.05</v>
      </c>
      <c r="J88" s="380">
        <f t="shared" si="47"/>
        <v>0</v>
      </c>
      <c r="K88" s="380">
        <f t="shared" si="47"/>
        <v>0</v>
      </c>
      <c r="L88" s="380">
        <f t="shared" si="47"/>
        <v>0.05</v>
      </c>
      <c r="M88" s="380">
        <f t="shared" si="47"/>
        <v>0</v>
      </c>
      <c r="N88" s="380">
        <f t="shared" si="47"/>
        <v>0</v>
      </c>
      <c r="O88" s="380">
        <f t="shared" si="47"/>
        <v>0</v>
      </c>
      <c r="P88" s="380">
        <f t="shared" si="47"/>
        <v>0</v>
      </c>
      <c r="Q88" s="380">
        <f t="shared" si="47"/>
        <v>0</v>
      </c>
      <c r="R88" s="380">
        <f t="shared" si="47"/>
        <v>0</v>
      </c>
      <c r="S88" s="380">
        <f t="shared" si="47"/>
        <v>0</v>
      </c>
      <c r="T88" s="380">
        <f t="shared" si="47"/>
        <v>0</v>
      </c>
      <c r="U88" s="380">
        <f t="shared" si="47"/>
        <v>0</v>
      </c>
      <c r="V88" s="380">
        <f t="shared" si="47"/>
        <v>0</v>
      </c>
      <c r="W88" s="381">
        <f t="shared" si="47"/>
        <v>0</v>
      </c>
      <c r="X88" s="381">
        <f t="shared" si="47"/>
        <v>0</v>
      </c>
      <c r="Y88" s="381">
        <f t="shared" si="47"/>
        <v>0</v>
      </c>
      <c r="Z88" s="381">
        <f t="shared" si="47"/>
        <v>0</v>
      </c>
      <c r="AA88" s="381">
        <f t="shared" si="47"/>
        <v>0</v>
      </c>
      <c r="AB88" s="381">
        <f t="shared" si="47"/>
        <v>0</v>
      </c>
      <c r="AC88" s="381">
        <f t="shared" si="47"/>
        <v>0</v>
      </c>
      <c r="AD88" s="381">
        <f t="shared" si="47"/>
        <v>0</v>
      </c>
      <c r="AE88" s="381">
        <f t="shared" si="47"/>
        <v>0</v>
      </c>
      <c r="AF88" s="381">
        <f t="shared" si="47"/>
        <v>0</v>
      </c>
      <c r="AG88" s="381">
        <f t="shared" si="47"/>
        <v>0</v>
      </c>
      <c r="AH88" s="381">
        <f t="shared" ref="AG88:AZ101" si="48">AH$15</f>
        <v>0</v>
      </c>
      <c r="AI88" s="381">
        <f t="shared" si="48"/>
        <v>0</v>
      </c>
      <c r="AJ88" s="381">
        <f t="shared" si="48"/>
        <v>0</v>
      </c>
      <c r="AK88" s="381">
        <f t="shared" si="48"/>
        <v>0</v>
      </c>
      <c r="AL88" s="381">
        <f t="shared" si="48"/>
        <v>0</v>
      </c>
      <c r="AM88" s="381">
        <f t="shared" si="48"/>
        <v>0</v>
      </c>
      <c r="AN88" s="381">
        <f t="shared" si="48"/>
        <v>0</v>
      </c>
      <c r="AO88" s="381">
        <f t="shared" si="48"/>
        <v>0</v>
      </c>
      <c r="AP88" s="381">
        <f t="shared" si="48"/>
        <v>0</v>
      </c>
      <c r="AQ88" s="381">
        <f t="shared" si="48"/>
        <v>0</v>
      </c>
      <c r="AR88" s="381">
        <f t="shared" si="48"/>
        <v>0</v>
      </c>
      <c r="AS88" s="381">
        <f t="shared" si="48"/>
        <v>0</v>
      </c>
      <c r="AT88" s="381">
        <f t="shared" si="48"/>
        <v>0</v>
      </c>
      <c r="AU88" s="381">
        <f t="shared" si="48"/>
        <v>0</v>
      </c>
      <c r="AV88" s="381">
        <f t="shared" si="48"/>
        <v>0</v>
      </c>
      <c r="AW88" s="381">
        <f t="shared" si="48"/>
        <v>0</v>
      </c>
      <c r="AX88" s="381">
        <f t="shared" si="48"/>
        <v>0</v>
      </c>
      <c r="AY88" s="381">
        <f t="shared" si="48"/>
        <v>0</v>
      </c>
      <c r="AZ88" s="382">
        <f t="shared" si="48"/>
        <v>0</v>
      </c>
    </row>
    <row r="89" spans="1:52" hidden="1" outlineLevel="1">
      <c r="A89" s="67" t="s">
        <v>152</v>
      </c>
      <c r="B89" s="201"/>
      <c r="C89" s="383"/>
      <c r="D89" s="384">
        <f>SUM(C$15:D$15)</f>
        <v>0.05</v>
      </c>
      <c r="E89" s="385">
        <f>E$15</f>
        <v>0</v>
      </c>
      <c r="F89" s="385">
        <f>F$15</f>
        <v>0</v>
      </c>
      <c r="G89" s="385">
        <f>G$15</f>
        <v>0.05</v>
      </c>
      <c r="H89" s="385">
        <f>H$15</f>
        <v>0</v>
      </c>
      <c r="I89" s="385">
        <f>I$15</f>
        <v>0.05</v>
      </c>
      <c r="J89" s="385">
        <f t="shared" ref="J89:J94" si="49">J$15</f>
        <v>0</v>
      </c>
      <c r="K89" s="385">
        <f t="shared" ref="K89:T95" si="50">K$15</f>
        <v>0</v>
      </c>
      <c r="L89" s="385">
        <f t="shared" si="50"/>
        <v>0.05</v>
      </c>
      <c r="M89" s="385">
        <f t="shared" si="50"/>
        <v>0</v>
      </c>
      <c r="N89" s="385">
        <f t="shared" si="50"/>
        <v>0</v>
      </c>
      <c r="O89" s="385">
        <f t="shared" si="50"/>
        <v>0</v>
      </c>
      <c r="P89" s="385">
        <f t="shared" si="50"/>
        <v>0</v>
      </c>
      <c r="Q89" s="385">
        <f t="shared" si="50"/>
        <v>0</v>
      </c>
      <c r="R89" s="385">
        <f t="shared" si="50"/>
        <v>0</v>
      </c>
      <c r="S89" s="385">
        <f t="shared" si="50"/>
        <v>0</v>
      </c>
      <c r="T89" s="385">
        <f t="shared" si="50"/>
        <v>0</v>
      </c>
      <c r="U89" s="385">
        <f t="shared" ref="U89:AF95" si="51">U$15</f>
        <v>0</v>
      </c>
      <c r="V89" s="385">
        <f t="shared" si="51"/>
        <v>0</v>
      </c>
      <c r="W89" s="18">
        <f t="shared" si="51"/>
        <v>0</v>
      </c>
      <c r="X89" s="18">
        <f t="shared" si="51"/>
        <v>0</v>
      </c>
      <c r="Y89" s="18">
        <f t="shared" si="51"/>
        <v>0</v>
      </c>
      <c r="Z89" s="18">
        <f t="shared" si="51"/>
        <v>0</v>
      </c>
      <c r="AA89" s="18">
        <f t="shared" si="51"/>
        <v>0</v>
      </c>
      <c r="AB89" s="18">
        <f t="shared" si="51"/>
        <v>0</v>
      </c>
      <c r="AC89" s="18">
        <f t="shared" si="51"/>
        <v>0</v>
      </c>
      <c r="AD89" s="18">
        <f t="shared" si="51"/>
        <v>0</v>
      </c>
      <c r="AE89" s="18">
        <f t="shared" si="51"/>
        <v>0</v>
      </c>
      <c r="AF89" s="18">
        <f t="shared" si="51"/>
        <v>0</v>
      </c>
      <c r="AG89" s="18">
        <f t="shared" si="48"/>
        <v>0</v>
      </c>
      <c r="AH89" s="18">
        <f t="shared" si="48"/>
        <v>0</v>
      </c>
      <c r="AI89" s="18">
        <f t="shared" si="48"/>
        <v>0</v>
      </c>
      <c r="AJ89" s="18">
        <f t="shared" si="48"/>
        <v>0</v>
      </c>
      <c r="AK89" s="18">
        <f t="shared" si="48"/>
        <v>0</v>
      </c>
      <c r="AL89" s="18">
        <f t="shared" si="48"/>
        <v>0</v>
      </c>
      <c r="AM89" s="18">
        <f t="shared" si="48"/>
        <v>0</v>
      </c>
      <c r="AN89" s="18">
        <f t="shared" si="48"/>
        <v>0</v>
      </c>
      <c r="AO89" s="18">
        <f t="shared" si="48"/>
        <v>0</v>
      </c>
      <c r="AP89" s="18">
        <f t="shared" si="48"/>
        <v>0</v>
      </c>
      <c r="AQ89" s="18">
        <f t="shared" si="48"/>
        <v>0</v>
      </c>
      <c r="AR89" s="18">
        <f t="shared" si="48"/>
        <v>0</v>
      </c>
      <c r="AS89" s="18">
        <f t="shared" si="48"/>
        <v>0</v>
      </c>
      <c r="AT89" s="18">
        <f t="shared" si="48"/>
        <v>0</v>
      </c>
      <c r="AU89" s="18">
        <f t="shared" si="48"/>
        <v>0</v>
      </c>
      <c r="AV89" s="18">
        <f t="shared" si="48"/>
        <v>0</v>
      </c>
      <c r="AW89" s="18">
        <f t="shared" si="48"/>
        <v>0</v>
      </c>
      <c r="AX89" s="18">
        <f t="shared" si="48"/>
        <v>0</v>
      </c>
      <c r="AY89" s="18">
        <f t="shared" si="48"/>
        <v>0</v>
      </c>
      <c r="AZ89" s="386">
        <f t="shared" si="48"/>
        <v>0</v>
      </c>
    </row>
    <row r="90" spans="1:52" hidden="1" outlineLevel="1">
      <c r="A90" s="67" t="s">
        <v>153</v>
      </c>
      <c r="B90" s="201"/>
      <c r="C90" s="383"/>
      <c r="D90" s="387"/>
      <c r="E90" s="384">
        <f>SUM(C$15:E$15)</f>
        <v>0.05</v>
      </c>
      <c r="F90" s="385">
        <f t="shared" ref="F90" si="52">F$15</f>
        <v>0</v>
      </c>
      <c r="G90" s="385">
        <f t="shared" ref="G90:G91" si="53">G$15</f>
        <v>0.05</v>
      </c>
      <c r="H90" s="385">
        <f t="shared" ref="H90:H92" si="54">H$15</f>
        <v>0</v>
      </c>
      <c r="I90" s="385">
        <f t="shared" ref="I90:I93" si="55">I$15</f>
        <v>0.05</v>
      </c>
      <c r="J90" s="385">
        <f t="shared" si="49"/>
        <v>0</v>
      </c>
      <c r="K90" s="385">
        <f t="shared" si="50"/>
        <v>0</v>
      </c>
      <c r="L90" s="385">
        <f t="shared" si="50"/>
        <v>0.05</v>
      </c>
      <c r="M90" s="385">
        <f t="shared" si="50"/>
        <v>0</v>
      </c>
      <c r="N90" s="385">
        <f t="shared" si="50"/>
        <v>0</v>
      </c>
      <c r="O90" s="385">
        <f t="shared" si="50"/>
        <v>0</v>
      </c>
      <c r="P90" s="385">
        <f t="shared" si="50"/>
        <v>0</v>
      </c>
      <c r="Q90" s="385">
        <f t="shared" si="50"/>
        <v>0</v>
      </c>
      <c r="R90" s="385">
        <f t="shared" si="50"/>
        <v>0</v>
      </c>
      <c r="S90" s="385">
        <f t="shared" si="50"/>
        <v>0</v>
      </c>
      <c r="T90" s="385">
        <f t="shared" si="50"/>
        <v>0</v>
      </c>
      <c r="U90" s="385">
        <f t="shared" si="51"/>
        <v>0</v>
      </c>
      <c r="V90" s="385">
        <f t="shared" si="51"/>
        <v>0</v>
      </c>
      <c r="W90" s="18">
        <f t="shared" si="51"/>
        <v>0</v>
      </c>
      <c r="X90" s="395">
        <f t="shared" si="51"/>
        <v>0</v>
      </c>
      <c r="Y90" s="18">
        <f t="shared" si="51"/>
        <v>0</v>
      </c>
      <c r="Z90" s="18">
        <f t="shared" si="51"/>
        <v>0</v>
      </c>
      <c r="AA90" s="18">
        <f t="shared" si="51"/>
        <v>0</v>
      </c>
      <c r="AB90" s="18">
        <f t="shared" si="51"/>
        <v>0</v>
      </c>
      <c r="AC90" s="18">
        <f t="shared" si="51"/>
        <v>0</v>
      </c>
      <c r="AD90" s="18">
        <f t="shared" si="51"/>
        <v>0</v>
      </c>
      <c r="AE90" s="18">
        <f t="shared" si="51"/>
        <v>0</v>
      </c>
      <c r="AF90" s="18">
        <f t="shared" si="51"/>
        <v>0</v>
      </c>
      <c r="AG90" s="18">
        <f t="shared" si="48"/>
        <v>0</v>
      </c>
      <c r="AH90" s="18">
        <f t="shared" si="48"/>
        <v>0</v>
      </c>
      <c r="AI90" s="18">
        <f t="shared" si="48"/>
        <v>0</v>
      </c>
      <c r="AJ90" s="18">
        <f t="shared" si="48"/>
        <v>0</v>
      </c>
      <c r="AK90" s="18">
        <f t="shared" si="48"/>
        <v>0</v>
      </c>
      <c r="AL90" s="18">
        <f t="shared" si="48"/>
        <v>0</v>
      </c>
      <c r="AM90" s="18">
        <f t="shared" si="48"/>
        <v>0</v>
      </c>
      <c r="AN90" s="18">
        <f t="shared" si="48"/>
        <v>0</v>
      </c>
      <c r="AO90" s="18">
        <f t="shared" si="48"/>
        <v>0</v>
      </c>
      <c r="AP90" s="18">
        <f t="shared" si="48"/>
        <v>0</v>
      </c>
      <c r="AQ90" s="18">
        <f t="shared" si="48"/>
        <v>0</v>
      </c>
      <c r="AR90" s="18">
        <f t="shared" si="48"/>
        <v>0</v>
      </c>
      <c r="AS90" s="18">
        <f t="shared" si="48"/>
        <v>0</v>
      </c>
      <c r="AT90" s="18">
        <f t="shared" si="48"/>
        <v>0</v>
      </c>
      <c r="AU90" s="18">
        <f t="shared" si="48"/>
        <v>0</v>
      </c>
      <c r="AV90" s="18">
        <f t="shared" si="48"/>
        <v>0</v>
      </c>
      <c r="AW90" s="18">
        <f t="shared" si="48"/>
        <v>0</v>
      </c>
      <c r="AX90" s="18">
        <f t="shared" si="48"/>
        <v>0</v>
      </c>
      <c r="AY90" s="18">
        <f t="shared" si="48"/>
        <v>0</v>
      </c>
      <c r="AZ90" s="386">
        <f t="shared" si="48"/>
        <v>0</v>
      </c>
    </row>
    <row r="91" spans="1:52" hidden="1" outlineLevel="1">
      <c r="A91" s="67" t="s">
        <v>154</v>
      </c>
      <c r="B91" s="201"/>
      <c r="C91" s="383"/>
      <c r="D91" s="387"/>
      <c r="E91" s="387"/>
      <c r="F91" s="384">
        <f>SUM(C$15:F$15)</f>
        <v>0.05</v>
      </c>
      <c r="G91" s="385">
        <f t="shared" si="53"/>
        <v>0.05</v>
      </c>
      <c r="H91" s="385">
        <f t="shared" si="54"/>
        <v>0</v>
      </c>
      <c r="I91" s="385">
        <f t="shared" si="55"/>
        <v>0.05</v>
      </c>
      <c r="J91" s="385">
        <f t="shared" si="49"/>
        <v>0</v>
      </c>
      <c r="K91" s="385">
        <f t="shared" si="50"/>
        <v>0</v>
      </c>
      <c r="L91" s="385">
        <f t="shared" si="50"/>
        <v>0.05</v>
      </c>
      <c r="M91" s="385">
        <f t="shared" si="50"/>
        <v>0</v>
      </c>
      <c r="N91" s="385">
        <f t="shared" si="50"/>
        <v>0</v>
      </c>
      <c r="O91" s="385">
        <f t="shared" si="50"/>
        <v>0</v>
      </c>
      <c r="P91" s="385">
        <f t="shared" si="50"/>
        <v>0</v>
      </c>
      <c r="Q91" s="385">
        <f t="shared" si="50"/>
        <v>0</v>
      </c>
      <c r="R91" s="385">
        <f t="shared" si="50"/>
        <v>0</v>
      </c>
      <c r="S91" s="385">
        <f t="shared" si="50"/>
        <v>0</v>
      </c>
      <c r="T91" s="385">
        <f t="shared" si="50"/>
        <v>0</v>
      </c>
      <c r="U91" s="385">
        <f t="shared" si="51"/>
        <v>0</v>
      </c>
      <c r="V91" s="385">
        <f t="shared" si="51"/>
        <v>0</v>
      </c>
      <c r="W91" s="18">
        <f t="shared" si="51"/>
        <v>0</v>
      </c>
      <c r="X91" s="18">
        <f t="shared" si="51"/>
        <v>0</v>
      </c>
      <c r="Y91" s="18">
        <f t="shared" si="51"/>
        <v>0</v>
      </c>
      <c r="Z91" s="18">
        <f t="shared" si="51"/>
        <v>0</v>
      </c>
      <c r="AA91" s="18">
        <f t="shared" si="51"/>
        <v>0</v>
      </c>
      <c r="AB91" s="18">
        <f t="shared" si="51"/>
        <v>0</v>
      </c>
      <c r="AC91" s="18">
        <f t="shared" si="51"/>
        <v>0</v>
      </c>
      <c r="AD91" s="18">
        <f t="shared" si="51"/>
        <v>0</v>
      </c>
      <c r="AE91" s="18">
        <f t="shared" si="51"/>
        <v>0</v>
      </c>
      <c r="AF91" s="18">
        <f t="shared" si="51"/>
        <v>0</v>
      </c>
      <c r="AG91" s="18">
        <f t="shared" si="48"/>
        <v>0</v>
      </c>
      <c r="AH91" s="18">
        <f t="shared" si="48"/>
        <v>0</v>
      </c>
      <c r="AI91" s="18">
        <f t="shared" si="48"/>
        <v>0</v>
      </c>
      <c r="AJ91" s="18">
        <f t="shared" si="48"/>
        <v>0</v>
      </c>
      <c r="AK91" s="18">
        <f t="shared" si="48"/>
        <v>0</v>
      </c>
      <c r="AL91" s="18">
        <f t="shared" si="48"/>
        <v>0</v>
      </c>
      <c r="AM91" s="18">
        <f t="shared" si="48"/>
        <v>0</v>
      </c>
      <c r="AN91" s="18">
        <f t="shared" si="48"/>
        <v>0</v>
      </c>
      <c r="AO91" s="18">
        <f t="shared" si="48"/>
        <v>0</v>
      </c>
      <c r="AP91" s="18">
        <f t="shared" si="48"/>
        <v>0</v>
      </c>
      <c r="AQ91" s="18">
        <f t="shared" si="48"/>
        <v>0</v>
      </c>
      <c r="AR91" s="18">
        <f t="shared" si="48"/>
        <v>0</v>
      </c>
      <c r="AS91" s="18">
        <f t="shared" si="48"/>
        <v>0</v>
      </c>
      <c r="AT91" s="18">
        <f t="shared" si="48"/>
        <v>0</v>
      </c>
      <c r="AU91" s="18">
        <f t="shared" si="48"/>
        <v>0</v>
      </c>
      <c r="AV91" s="18">
        <f t="shared" si="48"/>
        <v>0</v>
      </c>
      <c r="AW91" s="18">
        <f t="shared" si="48"/>
        <v>0</v>
      </c>
      <c r="AX91" s="18">
        <f t="shared" si="48"/>
        <v>0</v>
      </c>
      <c r="AY91" s="18">
        <f t="shared" si="48"/>
        <v>0</v>
      </c>
      <c r="AZ91" s="386">
        <f t="shared" si="48"/>
        <v>0</v>
      </c>
    </row>
    <row r="92" spans="1:52" hidden="1" outlineLevel="1">
      <c r="A92" s="67" t="s">
        <v>155</v>
      </c>
      <c r="B92" s="201"/>
      <c r="C92" s="383"/>
      <c r="D92" s="387"/>
      <c r="E92" s="387"/>
      <c r="F92" s="387"/>
      <c r="G92" s="384">
        <f>SUM(C$15:G$15)</f>
        <v>0.1</v>
      </c>
      <c r="H92" s="385">
        <f t="shared" si="54"/>
        <v>0</v>
      </c>
      <c r="I92" s="385">
        <f t="shared" si="55"/>
        <v>0.05</v>
      </c>
      <c r="J92" s="385">
        <f t="shared" si="49"/>
        <v>0</v>
      </c>
      <c r="K92" s="385">
        <f t="shared" si="50"/>
        <v>0</v>
      </c>
      <c r="L92" s="385">
        <f t="shared" si="50"/>
        <v>0.05</v>
      </c>
      <c r="M92" s="385">
        <f t="shared" si="50"/>
        <v>0</v>
      </c>
      <c r="N92" s="385">
        <f t="shared" si="50"/>
        <v>0</v>
      </c>
      <c r="O92" s="385">
        <f t="shared" si="50"/>
        <v>0</v>
      </c>
      <c r="P92" s="385">
        <f t="shared" si="50"/>
        <v>0</v>
      </c>
      <c r="Q92" s="385">
        <f t="shared" si="50"/>
        <v>0</v>
      </c>
      <c r="R92" s="385">
        <f t="shared" si="50"/>
        <v>0</v>
      </c>
      <c r="S92" s="385">
        <f t="shared" si="50"/>
        <v>0</v>
      </c>
      <c r="T92" s="385">
        <f t="shared" si="50"/>
        <v>0</v>
      </c>
      <c r="U92" s="385">
        <f t="shared" si="51"/>
        <v>0</v>
      </c>
      <c r="V92" s="385">
        <f t="shared" si="51"/>
        <v>0</v>
      </c>
      <c r="W92" s="18">
        <f t="shared" si="51"/>
        <v>0</v>
      </c>
      <c r="X92" s="18">
        <f t="shared" si="51"/>
        <v>0</v>
      </c>
      <c r="Y92" s="18">
        <f t="shared" si="51"/>
        <v>0</v>
      </c>
      <c r="Z92" s="18">
        <f t="shared" si="51"/>
        <v>0</v>
      </c>
      <c r="AA92" s="18">
        <f t="shared" si="51"/>
        <v>0</v>
      </c>
      <c r="AB92" s="18">
        <f t="shared" si="51"/>
        <v>0</v>
      </c>
      <c r="AC92" s="18">
        <f t="shared" si="51"/>
        <v>0</v>
      </c>
      <c r="AD92" s="18">
        <f t="shared" si="51"/>
        <v>0</v>
      </c>
      <c r="AE92" s="18">
        <f t="shared" si="51"/>
        <v>0</v>
      </c>
      <c r="AF92" s="18">
        <f t="shared" si="51"/>
        <v>0</v>
      </c>
      <c r="AG92" s="18">
        <f t="shared" si="48"/>
        <v>0</v>
      </c>
      <c r="AH92" s="18">
        <f t="shared" si="48"/>
        <v>0</v>
      </c>
      <c r="AI92" s="18">
        <f t="shared" si="48"/>
        <v>0</v>
      </c>
      <c r="AJ92" s="18">
        <f t="shared" si="48"/>
        <v>0</v>
      </c>
      <c r="AK92" s="18">
        <f t="shared" si="48"/>
        <v>0</v>
      </c>
      <c r="AL92" s="18">
        <f t="shared" si="48"/>
        <v>0</v>
      </c>
      <c r="AM92" s="18">
        <f t="shared" si="48"/>
        <v>0</v>
      </c>
      <c r="AN92" s="18">
        <f t="shared" si="48"/>
        <v>0</v>
      </c>
      <c r="AO92" s="18">
        <f t="shared" si="48"/>
        <v>0</v>
      </c>
      <c r="AP92" s="18">
        <f t="shared" si="48"/>
        <v>0</v>
      </c>
      <c r="AQ92" s="18">
        <f t="shared" si="48"/>
        <v>0</v>
      </c>
      <c r="AR92" s="18">
        <f t="shared" si="48"/>
        <v>0</v>
      </c>
      <c r="AS92" s="18">
        <f t="shared" si="48"/>
        <v>0</v>
      </c>
      <c r="AT92" s="18">
        <f t="shared" si="48"/>
        <v>0</v>
      </c>
      <c r="AU92" s="18">
        <f t="shared" si="48"/>
        <v>0</v>
      </c>
      <c r="AV92" s="18">
        <f t="shared" si="48"/>
        <v>0</v>
      </c>
      <c r="AW92" s="18">
        <f t="shared" si="48"/>
        <v>0</v>
      </c>
      <c r="AX92" s="18">
        <f t="shared" si="48"/>
        <v>0</v>
      </c>
      <c r="AY92" s="18">
        <f t="shared" si="48"/>
        <v>0</v>
      </c>
      <c r="AZ92" s="386">
        <f t="shared" si="48"/>
        <v>0</v>
      </c>
    </row>
    <row r="93" spans="1:52" hidden="1" outlineLevel="1">
      <c r="A93" s="67" t="s">
        <v>156</v>
      </c>
      <c r="B93" s="201"/>
      <c r="C93" s="383"/>
      <c r="D93" s="387"/>
      <c r="E93" s="387"/>
      <c r="F93" s="387"/>
      <c r="G93" s="387"/>
      <c r="H93" s="384">
        <f>SUM(C$15:H$15)</f>
        <v>0.1</v>
      </c>
      <c r="I93" s="385">
        <f t="shared" si="55"/>
        <v>0.05</v>
      </c>
      <c r="J93" s="385">
        <f t="shared" si="49"/>
        <v>0</v>
      </c>
      <c r="K93" s="385">
        <f t="shared" si="50"/>
        <v>0</v>
      </c>
      <c r="L93" s="385">
        <f t="shared" si="50"/>
        <v>0.05</v>
      </c>
      <c r="M93" s="385">
        <f t="shared" si="50"/>
        <v>0</v>
      </c>
      <c r="N93" s="385">
        <f t="shared" si="50"/>
        <v>0</v>
      </c>
      <c r="O93" s="385">
        <f t="shared" si="50"/>
        <v>0</v>
      </c>
      <c r="P93" s="385">
        <f t="shared" si="50"/>
        <v>0</v>
      </c>
      <c r="Q93" s="385">
        <f t="shared" si="50"/>
        <v>0</v>
      </c>
      <c r="R93" s="385">
        <f t="shared" si="50"/>
        <v>0</v>
      </c>
      <c r="S93" s="385">
        <f t="shared" si="50"/>
        <v>0</v>
      </c>
      <c r="T93" s="385">
        <f t="shared" si="50"/>
        <v>0</v>
      </c>
      <c r="U93" s="385">
        <f t="shared" si="51"/>
        <v>0</v>
      </c>
      <c r="V93" s="385">
        <f t="shared" si="51"/>
        <v>0</v>
      </c>
      <c r="W93" s="18">
        <f t="shared" si="51"/>
        <v>0</v>
      </c>
      <c r="X93" s="18">
        <f t="shared" si="51"/>
        <v>0</v>
      </c>
      <c r="Y93" s="18">
        <f t="shared" si="51"/>
        <v>0</v>
      </c>
      <c r="Z93" s="18">
        <f t="shared" si="51"/>
        <v>0</v>
      </c>
      <c r="AA93" s="18">
        <f t="shared" si="51"/>
        <v>0</v>
      </c>
      <c r="AB93" s="18">
        <f t="shared" si="51"/>
        <v>0</v>
      </c>
      <c r="AC93" s="18">
        <f t="shared" si="51"/>
        <v>0</v>
      </c>
      <c r="AD93" s="18">
        <f t="shared" si="51"/>
        <v>0</v>
      </c>
      <c r="AE93" s="18">
        <f t="shared" si="51"/>
        <v>0</v>
      </c>
      <c r="AF93" s="18">
        <f t="shared" si="51"/>
        <v>0</v>
      </c>
      <c r="AG93" s="18">
        <f t="shared" si="48"/>
        <v>0</v>
      </c>
      <c r="AH93" s="18">
        <f t="shared" si="48"/>
        <v>0</v>
      </c>
      <c r="AI93" s="18">
        <f t="shared" si="48"/>
        <v>0</v>
      </c>
      <c r="AJ93" s="18">
        <f t="shared" si="48"/>
        <v>0</v>
      </c>
      <c r="AK93" s="18">
        <f t="shared" si="48"/>
        <v>0</v>
      </c>
      <c r="AL93" s="18">
        <f t="shared" si="48"/>
        <v>0</v>
      </c>
      <c r="AM93" s="18">
        <f t="shared" si="48"/>
        <v>0</v>
      </c>
      <c r="AN93" s="18">
        <f t="shared" si="48"/>
        <v>0</v>
      </c>
      <c r="AO93" s="18">
        <f t="shared" si="48"/>
        <v>0</v>
      </c>
      <c r="AP93" s="18">
        <f t="shared" si="48"/>
        <v>0</v>
      </c>
      <c r="AQ93" s="18">
        <f t="shared" si="48"/>
        <v>0</v>
      </c>
      <c r="AR93" s="18">
        <f t="shared" si="48"/>
        <v>0</v>
      </c>
      <c r="AS93" s="18">
        <f t="shared" si="48"/>
        <v>0</v>
      </c>
      <c r="AT93" s="18">
        <f t="shared" si="48"/>
        <v>0</v>
      </c>
      <c r="AU93" s="18">
        <f t="shared" si="48"/>
        <v>0</v>
      </c>
      <c r="AV93" s="18">
        <f t="shared" si="48"/>
        <v>0</v>
      </c>
      <c r="AW93" s="18">
        <f t="shared" si="48"/>
        <v>0</v>
      </c>
      <c r="AX93" s="18">
        <f t="shared" si="48"/>
        <v>0</v>
      </c>
      <c r="AY93" s="18">
        <f t="shared" si="48"/>
        <v>0</v>
      </c>
      <c r="AZ93" s="386">
        <f t="shared" si="48"/>
        <v>0</v>
      </c>
    </row>
    <row r="94" spans="1:52" hidden="1" outlineLevel="1">
      <c r="A94" s="67" t="s">
        <v>157</v>
      </c>
      <c r="B94" s="201"/>
      <c r="C94" s="383"/>
      <c r="D94" s="387"/>
      <c r="E94" s="387"/>
      <c r="F94" s="387"/>
      <c r="G94" s="387"/>
      <c r="H94" s="387"/>
      <c r="I94" s="384">
        <f>SUM(C$15:I$15)</f>
        <v>0.15000000000000002</v>
      </c>
      <c r="J94" s="385">
        <f t="shared" si="49"/>
        <v>0</v>
      </c>
      <c r="K94" s="385">
        <f t="shared" si="50"/>
        <v>0</v>
      </c>
      <c r="L94" s="385">
        <f t="shared" si="50"/>
        <v>0.05</v>
      </c>
      <c r="M94" s="385">
        <f t="shared" si="50"/>
        <v>0</v>
      </c>
      <c r="N94" s="385">
        <f t="shared" si="50"/>
        <v>0</v>
      </c>
      <c r="O94" s="385">
        <f t="shared" si="50"/>
        <v>0</v>
      </c>
      <c r="P94" s="385">
        <f t="shared" si="50"/>
        <v>0</v>
      </c>
      <c r="Q94" s="385">
        <f t="shared" si="50"/>
        <v>0</v>
      </c>
      <c r="R94" s="385">
        <f t="shared" si="50"/>
        <v>0</v>
      </c>
      <c r="S94" s="385">
        <f t="shared" si="50"/>
        <v>0</v>
      </c>
      <c r="T94" s="385">
        <f t="shared" si="50"/>
        <v>0</v>
      </c>
      <c r="U94" s="385">
        <f t="shared" si="51"/>
        <v>0</v>
      </c>
      <c r="V94" s="385">
        <f t="shared" si="51"/>
        <v>0</v>
      </c>
      <c r="W94" s="18">
        <f t="shared" si="51"/>
        <v>0</v>
      </c>
      <c r="X94" s="18">
        <f t="shared" si="51"/>
        <v>0</v>
      </c>
      <c r="Y94" s="18">
        <f t="shared" si="51"/>
        <v>0</v>
      </c>
      <c r="Z94" s="18">
        <f t="shared" si="51"/>
        <v>0</v>
      </c>
      <c r="AA94" s="18">
        <f t="shared" si="51"/>
        <v>0</v>
      </c>
      <c r="AB94" s="18">
        <f t="shared" si="51"/>
        <v>0</v>
      </c>
      <c r="AC94" s="18">
        <f t="shared" si="51"/>
        <v>0</v>
      </c>
      <c r="AD94" s="18">
        <f t="shared" si="51"/>
        <v>0</v>
      </c>
      <c r="AE94" s="18">
        <f t="shared" si="51"/>
        <v>0</v>
      </c>
      <c r="AF94" s="18">
        <f t="shared" si="51"/>
        <v>0</v>
      </c>
      <c r="AG94" s="18">
        <f t="shared" si="48"/>
        <v>0</v>
      </c>
      <c r="AH94" s="18">
        <f t="shared" si="48"/>
        <v>0</v>
      </c>
      <c r="AI94" s="18">
        <f t="shared" si="48"/>
        <v>0</v>
      </c>
      <c r="AJ94" s="18">
        <f t="shared" si="48"/>
        <v>0</v>
      </c>
      <c r="AK94" s="18">
        <f t="shared" si="48"/>
        <v>0</v>
      </c>
      <c r="AL94" s="18">
        <f t="shared" si="48"/>
        <v>0</v>
      </c>
      <c r="AM94" s="18">
        <f t="shared" si="48"/>
        <v>0</v>
      </c>
      <c r="AN94" s="18">
        <f t="shared" si="48"/>
        <v>0</v>
      </c>
      <c r="AO94" s="18">
        <f t="shared" si="48"/>
        <v>0</v>
      </c>
      <c r="AP94" s="18">
        <f t="shared" si="48"/>
        <v>0</v>
      </c>
      <c r="AQ94" s="18">
        <f t="shared" si="48"/>
        <v>0</v>
      </c>
      <c r="AR94" s="18">
        <f t="shared" si="48"/>
        <v>0</v>
      </c>
      <c r="AS94" s="18">
        <f t="shared" si="48"/>
        <v>0</v>
      </c>
      <c r="AT94" s="18">
        <f t="shared" si="48"/>
        <v>0</v>
      </c>
      <c r="AU94" s="18">
        <f t="shared" si="48"/>
        <v>0</v>
      </c>
      <c r="AV94" s="18">
        <f t="shared" si="48"/>
        <v>0</v>
      </c>
      <c r="AW94" s="18">
        <f t="shared" si="48"/>
        <v>0</v>
      </c>
      <c r="AX94" s="18">
        <f t="shared" si="48"/>
        <v>0</v>
      </c>
      <c r="AY94" s="18">
        <f t="shared" si="48"/>
        <v>0</v>
      </c>
      <c r="AZ94" s="386">
        <f t="shared" si="48"/>
        <v>0</v>
      </c>
    </row>
    <row r="95" spans="1:52" hidden="1" outlineLevel="1">
      <c r="A95" s="67" t="s">
        <v>158</v>
      </c>
      <c r="B95" s="201"/>
      <c r="C95" s="383"/>
      <c r="D95" s="387"/>
      <c r="E95" s="387"/>
      <c r="F95" s="387"/>
      <c r="G95" s="387"/>
      <c r="H95" s="387"/>
      <c r="I95" s="387"/>
      <c r="J95" s="384">
        <f>SUM(C$15:J$15)</f>
        <v>0.15000000000000002</v>
      </c>
      <c r="K95" s="385">
        <f t="shared" si="50"/>
        <v>0</v>
      </c>
      <c r="L95" s="385">
        <f t="shared" si="50"/>
        <v>0.05</v>
      </c>
      <c r="M95" s="385">
        <f t="shared" si="50"/>
        <v>0</v>
      </c>
      <c r="N95" s="385">
        <f t="shared" si="50"/>
        <v>0</v>
      </c>
      <c r="O95" s="385">
        <f t="shared" si="50"/>
        <v>0</v>
      </c>
      <c r="P95" s="385">
        <f t="shared" si="50"/>
        <v>0</v>
      </c>
      <c r="Q95" s="385">
        <f t="shared" si="50"/>
        <v>0</v>
      </c>
      <c r="R95" s="385">
        <f t="shared" si="50"/>
        <v>0</v>
      </c>
      <c r="S95" s="385">
        <f t="shared" si="50"/>
        <v>0</v>
      </c>
      <c r="T95" s="385">
        <f t="shared" si="50"/>
        <v>0</v>
      </c>
      <c r="U95" s="385">
        <f t="shared" si="51"/>
        <v>0</v>
      </c>
      <c r="V95" s="385">
        <f t="shared" si="51"/>
        <v>0</v>
      </c>
      <c r="W95" s="18">
        <f t="shared" si="51"/>
        <v>0</v>
      </c>
      <c r="X95" s="18">
        <f t="shared" si="51"/>
        <v>0</v>
      </c>
      <c r="Y95" s="18">
        <f t="shared" si="51"/>
        <v>0</v>
      </c>
      <c r="Z95" s="18">
        <f t="shared" si="51"/>
        <v>0</v>
      </c>
      <c r="AA95" s="18">
        <f t="shared" si="51"/>
        <v>0</v>
      </c>
      <c r="AB95" s="18">
        <f t="shared" si="51"/>
        <v>0</v>
      </c>
      <c r="AC95" s="18">
        <f t="shared" si="51"/>
        <v>0</v>
      </c>
      <c r="AD95" s="18">
        <f t="shared" si="51"/>
        <v>0</v>
      </c>
      <c r="AE95" s="18">
        <f t="shared" si="51"/>
        <v>0</v>
      </c>
      <c r="AF95" s="18">
        <f t="shared" si="51"/>
        <v>0</v>
      </c>
      <c r="AG95" s="18">
        <f t="shared" si="48"/>
        <v>0</v>
      </c>
      <c r="AH95" s="18">
        <f t="shared" si="48"/>
        <v>0</v>
      </c>
      <c r="AI95" s="18">
        <f t="shared" si="48"/>
        <v>0</v>
      </c>
      <c r="AJ95" s="18">
        <f t="shared" si="48"/>
        <v>0</v>
      </c>
      <c r="AK95" s="18">
        <f t="shared" si="48"/>
        <v>0</v>
      </c>
      <c r="AL95" s="18">
        <f t="shared" si="48"/>
        <v>0</v>
      </c>
      <c r="AM95" s="18">
        <f t="shared" si="48"/>
        <v>0</v>
      </c>
      <c r="AN95" s="18">
        <f t="shared" si="48"/>
        <v>0</v>
      </c>
      <c r="AO95" s="18">
        <f t="shared" si="48"/>
        <v>0</v>
      </c>
      <c r="AP95" s="18">
        <f t="shared" si="48"/>
        <v>0</v>
      </c>
      <c r="AQ95" s="18">
        <f t="shared" si="48"/>
        <v>0</v>
      </c>
      <c r="AR95" s="18">
        <f t="shared" si="48"/>
        <v>0</v>
      </c>
      <c r="AS95" s="18">
        <f t="shared" si="48"/>
        <v>0</v>
      </c>
      <c r="AT95" s="18">
        <f t="shared" si="48"/>
        <v>0</v>
      </c>
      <c r="AU95" s="18">
        <f t="shared" si="48"/>
        <v>0</v>
      </c>
      <c r="AV95" s="18">
        <f t="shared" si="48"/>
        <v>0</v>
      </c>
      <c r="AW95" s="18">
        <f t="shared" si="48"/>
        <v>0</v>
      </c>
      <c r="AX95" s="18">
        <f t="shared" si="48"/>
        <v>0</v>
      </c>
      <c r="AY95" s="18">
        <f t="shared" si="48"/>
        <v>0</v>
      </c>
      <c r="AZ95" s="386">
        <f t="shared" si="48"/>
        <v>0</v>
      </c>
    </row>
    <row r="96" spans="1:52" hidden="1" outlineLevel="1">
      <c r="A96" s="67" t="s">
        <v>159</v>
      </c>
      <c r="B96" s="201"/>
      <c r="C96" s="383"/>
      <c r="D96" s="387"/>
      <c r="E96" s="387"/>
      <c r="F96" s="387"/>
      <c r="G96" s="387"/>
      <c r="H96" s="387"/>
      <c r="I96" s="387"/>
      <c r="J96" s="387"/>
      <c r="K96" s="384">
        <f>SUM(C$15:K$15)</f>
        <v>0.15000000000000002</v>
      </c>
      <c r="L96" s="385">
        <f t="shared" ref="L96:AL96" si="56">L$15</f>
        <v>0.05</v>
      </c>
      <c r="M96" s="385">
        <f t="shared" si="56"/>
        <v>0</v>
      </c>
      <c r="N96" s="385">
        <f t="shared" si="56"/>
        <v>0</v>
      </c>
      <c r="O96" s="385">
        <f t="shared" si="56"/>
        <v>0</v>
      </c>
      <c r="P96" s="385">
        <f t="shared" si="56"/>
        <v>0</v>
      </c>
      <c r="Q96" s="385">
        <f t="shared" si="56"/>
        <v>0</v>
      </c>
      <c r="R96" s="385">
        <f t="shared" si="56"/>
        <v>0</v>
      </c>
      <c r="S96" s="385">
        <f t="shared" si="56"/>
        <v>0</v>
      </c>
      <c r="T96" s="385">
        <f t="shared" si="56"/>
        <v>0</v>
      </c>
      <c r="U96" s="385">
        <f t="shared" si="56"/>
        <v>0</v>
      </c>
      <c r="V96" s="385">
        <f t="shared" si="56"/>
        <v>0</v>
      </c>
      <c r="W96" s="18">
        <f t="shared" si="56"/>
        <v>0</v>
      </c>
      <c r="X96" s="18">
        <f t="shared" si="56"/>
        <v>0</v>
      </c>
      <c r="Y96" s="18">
        <f t="shared" si="56"/>
        <v>0</v>
      </c>
      <c r="Z96" s="18">
        <f t="shared" si="56"/>
        <v>0</v>
      </c>
      <c r="AA96" s="18">
        <f t="shared" si="56"/>
        <v>0</v>
      </c>
      <c r="AB96" s="18">
        <f t="shared" si="56"/>
        <v>0</v>
      </c>
      <c r="AC96" s="18">
        <f t="shared" si="56"/>
        <v>0</v>
      </c>
      <c r="AD96" s="18">
        <f t="shared" si="56"/>
        <v>0</v>
      </c>
      <c r="AE96" s="18">
        <f t="shared" si="56"/>
        <v>0</v>
      </c>
      <c r="AF96" s="18">
        <f t="shared" si="56"/>
        <v>0</v>
      </c>
      <c r="AG96" s="18">
        <f t="shared" si="56"/>
        <v>0</v>
      </c>
      <c r="AH96" s="18">
        <f t="shared" si="56"/>
        <v>0</v>
      </c>
      <c r="AI96" s="18">
        <f t="shared" si="56"/>
        <v>0</v>
      </c>
      <c r="AJ96" s="18">
        <f t="shared" si="56"/>
        <v>0</v>
      </c>
      <c r="AK96" s="18">
        <f t="shared" si="56"/>
        <v>0</v>
      </c>
      <c r="AL96" s="18">
        <f t="shared" si="56"/>
        <v>0</v>
      </c>
      <c r="AM96" s="18">
        <f t="shared" si="48"/>
        <v>0</v>
      </c>
      <c r="AN96" s="18">
        <f t="shared" si="48"/>
        <v>0</v>
      </c>
      <c r="AO96" s="18">
        <f t="shared" si="48"/>
        <v>0</v>
      </c>
      <c r="AP96" s="18">
        <f t="shared" si="48"/>
        <v>0</v>
      </c>
      <c r="AQ96" s="18">
        <f t="shared" si="48"/>
        <v>0</v>
      </c>
      <c r="AR96" s="18">
        <f t="shared" si="48"/>
        <v>0</v>
      </c>
      <c r="AS96" s="18">
        <f t="shared" si="48"/>
        <v>0</v>
      </c>
      <c r="AT96" s="18">
        <f t="shared" si="48"/>
        <v>0</v>
      </c>
      <c r="AU96" s="18">
        <f t="shared" si="48"/>
        <v>0</v>
      </c>
      <c r="AV96" s="18">
        <f t="shared" si="48"/>
        <v>0</v>
      </c>
      <c r="AW96" s="18">
        <f t="shared" si="48"/>
        <v>0</v>
      </c>
      <c r="AX96" s="18">
        <f t="shared" si="48"/>
        <v>0</v>
      </c>
      <c r="AY96" s="18">
        <f t="shared" si="48"/>
        <v>0</v>
      </c>
      <c r="AZ96" s="386">
        <f t="shared" si="48"/>
        <v>0</v>
      </c>
    </row>
    <row r="97" spans="1:52" hidden="1" outlineLevel="1">
      <c r="A97" s="67" t="s">
        <v>160</v>
      </c>
      <c r="B97" s="201"/>
      <c r="C97" s="383"/>
      <c r="D97" s="387"/>
      <c r="E97" s="387"/>
      <c r="F97" s="387"/>
      <c r="G97" s="387"/>
      <c r="H97" s="387"/>
      <c r="I97" s="387"/>
      <c r="J97" s="387"/>
      <c r="K97" s="387"/>
      <c r="L97" s="384">
        <f>SUM(C$15:L$15)</f>
        <v>0.2</v>
      </c>
      <c r="M97" s="385">
        <f t="shared" ref="M97:AF97" si="57">M$15</f>
        <v>0</v>
      </c>
      <c r="N97" s="385">
        <f t="shared" si="57"/>
        <v>0</v>
      </c>
      <c r="O97" s="385">
        <f t="shared" si="57"/>
        <v>0</v>
      </c>
      <c r="P97" s="385">
        <f t="shared" si="57"/>
        <v>0</v>
      </c>
      <c r="Q97" s="385">
        <f t="shared" si="57"/>
        <v>0</v>
      </c>
      <c r="R97" s="385">
        <f t="shared" si="57"/>
        <v>0</v>
      </c>
      <c r="S97" s="385">
        <f t="shared" si="57"/>
        <v>0</v>
      </c>
      <c r="T97" s="385">
        <f t="shared" si="57"/>
        <v>0</v>
      </c>
      <c r="U97" s="385">
        <f t="shared" si="57"/>
        <v>0</v>
      </c>
      <c r="V97" s="385">
        <f t="shared" si="57"/>
        <v>0</v>
      </c>
      <c r="W97" s="18">
        <f t="shared" si="57"/>
        <v>0</v>
      </c>
      <c r="X97" s="18">
        <f t="shared" si="57"/>
        <v>0</v>
      </c>
      <c r="Y97" s="18">
        <f t="shared" si="57"/>
        <v>0</v>
      </c>
      <c r="Z97" s="18">
        <f t="shared" si="57"/>
        <v>0</v>
      </c>
      <c r="AA97" s="18">
        <f t="shared" si="57"/>
        <v>0</v>
      </c>
      <c r="AB97" s="18">
        <f t="shared" si="57"/>
        <v>0</v>
      </c>
      <c r="AC97" s="18">
        <f t="shared" si="57"/>
        <v>0</v>
      </c>
      <c r="AD97" s="18">
        <f t="shared" si="57"/>
        <v>0</v>
      </c>
      <c r="AE97" s="18">
        <f t="shared" si="57"/>
        <v>0</v>
      </c>
      <c r="AF97" s="18">
        <f t="shared" si="57"/>
        <v>0</v>
      </c>
      <c r="AG97" s="18">
        <f t="shared" si="48"/>
        <v>0</v>
      </c>
      <c r="AH97" s="18">
        <f t="shared" si="48"/>
        <v>0</v>
      </c>
      <c r="AI97" s="18">
        <f t="shared" si="48"/>
        <v>0</v>
      </c>
      <c r="AJ97" s="18">
        <f t="shared" si="48"/>
        <v>0</v>
      </c>
      <c r="AK97" s="18">
        <f t="shared" si="48"/>
        <v>0</v>
      </c>
      <c r="AL97" s="18">
        <f t="shared" si="48"/>
        <v>0</v>
      </c>
      <c r="AM97" s="18">
        <f t="shared" si="48"/>
        <v>0</v>
      </c>
      <c r="AN97" s="18">
        <f t="shared" si="48"/>
        <v>0</v>
      </c>
      <c r="AO97" s="18">
        <f t="shared" si="48"/>
        <v>0</v>
      </c>
      <c r="AP97" s="18">
        <f t="shared" si="48"/>
        <v>0</v>
      </c>
      <c r="AQ97" s="18">
        <f t="shared" si="48"/>
        <v>0</v>
      </c>
      <c r="AR97" s="18">
        <f t="shared" si="48"/>
        <v>0</v>
      </c>
      <c r="AS97" s="18">
        <f t="shared" si="48"/>
        <v>0</v>
      </c>
      <c r="AT97" s="18">
        <f t="shared" si="48"/>
        <v>0</v>
      </c>
      <c r="AU97" s="18">
        <f t="shared" si="48"/>
        <v>0</v>
      </c>
      <c r="AV97" s="18">
        <f t="shared" si="48"/>
        <v>0</v>
      </c>
      <c r="AW97" s="18">
        <f t="shared" si="48"/>
        <v>0</v>
      </c>
      <c r="AX97" s="18">
        <f t="shared" si="48"/>
        <v>0</v>
      </c>
      <c r="AY97" s="18">
        <f t="shared" si="48"/>
        <v>0</v>
      </c>
      <c r="AZ97" s="386">
        <f t="shared" si="48"/>
        <v>0</v>
      </c>
    </row>
    <row r="98" spans="1:52" hidden="1" outlineLevel="1">
      <c r="A98" s="67" t="s">
        <v>163</v>
      </c>
      <c r="B98" s="201"/>
      <c r="C98" s="383"/>
      <c r="D98" s="387"/>
      <c r="E98" s="387"/>
      <c r="F98" s="387"/>
      <c r="G98" s="387"/>
      <c r="H98" s="387"/>
      <c r="I98" s="387"/>
      <c r="J98" s="387"/>
      <c r="K98" s="387"/>
      <c r="L98" s="387"/>
      <c r="M98" s="384">
        <f>SUM(C$15:M$15)</f>
        <v>0.2</v>
      </c>
      <c r="N98" s="385">
        <f t="shared" ref="N98:AF98" si="58">N$15</f>
        <v>0</v>
      </c>
      <c r="O98" s="385">
        <f t="shared" si="58"/>
        <v>0</v>
      </c>
      <c r="P98" s="385">
        <f t="shared" si="58"/>
        <v>0</v>
      </c>
      <c r="Q98" s="385">
        <f t="shared" si="58"/>
        <v>0</v>
      </c>
      <c r="R98" s="385">
        <f t="shared" si="58"/>
        <v>0</v>
      </c>
      <c r="S98" s="385">
        <f t="shared" si="58"/>
        <v>0</v>
      </c>
      <c r="T98" s="385">
        <f t="shared" si="58"/>
        <v>0</v>
      </c>
      <c r="U98" s="385">
        <f t="shared" si="58"/>
        <v>0</v>
      </c>
      <c r="V98" s="385">
        <f t="shared" si="58"/>
        <v>0</v>
      </c>
      <c r="W98" s="18">
        <f t="shared" si="58"/>
        <v>0</v>
      </c>
      <c r="X98" s="18">
        <f t="shared" si="58"/>
        <v>0</v>
      </c>
      <c r="Y98" s="18">
        <f t="shared" si="58"/>
        <v>0</v>
      </c>
      <c r="Z98" s="18">
        <f t="shared" si="58"/>
        <v>0</v>
      </c>
      <c r="AA98" s="18">
        <f t="shared" si="58"/>
        <v>0</v>
      </c>
      <c r="AB98" s="18">
        <f t="shared" si="58"/>
        <v>0</v>
      </c>
      <c r="AC98" s="18">
        <f t="shared" si="58"/>
        <v>0</v>
      </c>
      <c r="AD98" s="18">
        <f t="shared" si="58"/>
        <v>0</v>
      </c>
      <c r="AE98" s="18">
        <f t="shared" si="58"/>
        <v>0</v>
      </c>
      <c r="AF98" s="18">
        <f t="shared" si="58"/>
        <v>0</v>
      </c>
      <c r="AG98" s="18">
        <f t="shared" si="48"/>
        <v>0</v>
      </c>
      <c r="AH98" s="18">
        <f t="shared" si="48"/>
        <v>0</v>
      </c>
      <c r="AI98" s="18">
        <f t="shared" si="48"/>
        <v>0</v>
      </c>
      <c r="AJ98" s="18">
        <f t="shared" si="48"/>
        <v>0</v>
      </c>
      <c r="AK98" s="18">
        <f t="shared" si="48"/>
        <v>0</v>
      </c>
      <c r="AL98" s="18">
        <f t="shared" si="48"/>
        <v>0</v>
      </c>
      <c r="AM98" s="18">
        <f t="shared" si="48"/>
        <v>0</v>
      </c>
      <c r="AN98" s="18">
        <f t="shared" si="48"/>
        <v>0</v>
      </c>
      <c r="AO98" s="18">
        <f t="shared" si="48"/>
        <v>0</v>
      </c>
      <c r="AP98" s="18">
        <f t="shared" si="48"/>
        <v>0</v>
      </c>
      <c r="AQ98" s="18">
        <f t="shared" si="48"/>
        <v>0</v>
      </c>
      <c r="AR98" s="18">
        <f t="shared" si="48"/>
        <v>0</v>
      </c>
      <c r="AS98" s="18">
        <f t="shared" si="48"/>
        <v>0</v>
      </c>
      <c r="AT98" s="18">
        <f t="shared" si="48"/>
        <v>0</v>
      </c>
      <c r="AU98" s="18">
        <f t="shared" si="48"/>
        <v>0</v>
      </c>
      <c r="AV98" s="18">
        <f t="shared" si="48"/>
        <v>0</v>
      </c>
      <c r="AW98" s="18">
        <f t="shared" si="48"/>
        <v>0</v>
      </c>
      <c r="AX98" s="18">
        <f t="shared" si="48"/>
        <v>0</v>
      </c>
      <c r="AY98" s="18">
        <f t="shared" si="48"/>
        <v>0</v>
      </c>
      <c r="AZ98" s="386">
        <f t="shared" si="48"/>
        <v>0</v>
      </c>
    </row>
    <row r="99" spans="1:52" hidden="1" outlineLevel="1">
      <c r="A99" s="67" t="s">
        <v>164</v>
      </c>
      <c r="B99" s="201"/>
      <c r="C99" s="383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4">
        <f>SUM(C$15:N$15)</f>
        <v>0.2</v>
      </c>
      <c r="O99" s="385">
        <f t="shared" ref="O99:AF99" si="59">O$15</f>
        <v>0</v>
      </c>
      <c r="P99" s="385">
        <f t="shared" si="59"/>
        <v>0</v>
      </c>
      <c r="Q99" s="385">
        <f t="shared" si="59"/>
        <v>0</v>
      </c>
      <c r="R99" s="385">
        <f t="shared" si="59"/>
        <v>0</v>
      </c>
      <c r="S99" s="385">
        <f t="shared" si="59"/>
        <v>0</v>
      </c>
      <c r="T99" s="385">
        <f t="shared" si="59"/>
        <v>0</v>
      </c>
      <c r="U99" s="385">
        <f t="shared" si="59"/>
        <v>0</v>
      </c>
      <c r="V99" s="385">
        <f t="shared" si="59"/>
        <v>0</v>
      </c>
      <c r="W99" s="18">
        <f t="shared" si="59"/>
        <v>0</v>
      </c>
      <c r="X99" s="18">
        <f t="shared" si="59"/>
        <v>0</v>
      </c>
      <c r="Y99" s="18">
        <f t="shared" si="59"/>
        <v>0</v>
      </c>
      <c r="Z99" s="18">
        <f t="shared" si="59"/>
        <v>0</v>
      </c>
      <c r="AA99" s="18">
        <f t="shared" si="59"/>
        <v>0</v>
      </c>
      <c r="AB99" s="18">
        <f t="shared" si="59"/>
        <v>0</v>
      </c>
      <c r="AC99" s="18">
        <f t="shared" si="59"/>
        <v>0</v>
      </c>
      <c r="AD99" s="18">
        <f t="shared" si="59"/>
        <v>0</v>
      </c>
      <c r="AE99" s="18">
        <f t="shared" si="59"/>
        <v>0</v>
      </c>
      <c r="AF99" s="18">
        <f t="shared" si="59"/>
        <v>0</v>
      </c>
      <c r="AG99" s="18">
        <f t="shared" si="48"/>
        <v>0</v>
      </c>
      <c r="AH99" s="18">
        <f t="shared" si="48"/>
        <v>0</v>
      </c>
      <c r="AI99" s="18">
        <f t="shared" si="48"/>
        <v>0</v>
      </c>
      <c r="AJ99" s="18">
        <f t="shared" si="48"/>
        <v>0</v>
      </c>
      <c r="AK99" s="18">
        <f t="shared" si="48"/>
        <v>0</v>
      </c>
      <c r="AL99" s="18">
        <f t="shared" si="48"/>
        <v>0</v>
      </c>
      <c r="AM99" s="18">
        <f t="shared" si="48"/>
        <v>0</v>
      </c>
      <c r="AN99" s="18">
        <f t="shared" si="48"/>
        <v>0</v>
      </c>
      <c r="AO99" s="18">
        <f t="shared" si="48"/>
        <v>0</v>
      </c>
      <c r="AP99" s="18">
        <f t="shared" si="48"/>
        <v>0</v>
      </c>
      <c r="AQ99" s="18">
        <f t="shared" si="48"/>
        <v>0</v>
      </c>
      <c r="AR99" s="18">
        <f t="shared" si="48"/>
        <v>0</v>
      </c>
      <c r="AS99" s="18">
        <f t="shared" si="48"/>
        <v>0</v>
      </c>
      <c r="AT99" s="18">
        <f t="shared" si="48"/>
        <v>0</v>
      </c>
      <c r="AU99" s="18">
        <f t="shared" si="48"/>
        <v>0</v>
      </c>
      <c r="AV99" s="18">
        <f t="shared" si="48"/>
        <v>0</v>
      </c>
      <c r="AW99" s="18">
        <f t="shared" si="48"/>
        <v>0</v>
      </c>
      <c r="AX99" s="18">
        <f t="shared" si="48"/>
        <v>0</v>
      </c>
      <c r="AY99" s="18">
        <f t="shared" si="48"/>
        <v>0</v>
      </c>
      <c r="AZ99" s="386">
        <f t="shared" si="48"/>
        <v>0</v>
      </c>
    </row>
    <row r="100" spans="1:52" hidden="1" outlineLevel="1">
      <c r="A100" s="67" t="s">
        <v>165</v>
      </c>
      <c r="B100" s="201"/>
      <c r="C100" s="383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4">
        <f>SUM(C$15:O$15)</f>
        <v>0.2</v>
      </c>
      <c r="P100" s="385">
        <f t="shared" ref="P100:AF100" si="60">P$15</f>
        <v>0</v>
      </c>
      <c r="Q100" s="385">
        <f t="shared" si="60"/>
        <v>0</v>
      </c>
      <c r="R100" s="385">
        <f t="shared" si="60"/>
        <v>0</v>
      </c>
      <c r="S100" s="385">
        <f t="shared" si="60"/>
        <v>0</v>
      </c>
      <c r="T100" s="385">
        <f t="shared" si="60"/>
        <v>0</v>
      </c>
      <c r="U100" s="385">
        <f t="shared" si="60"/>
        <v>0</v>
      </c>
      <c r="V100" s="385">
        <f t="shared" si="60"/>
        <v>0</v>
      </c>
      <c r="W100" s="18">
        <f t="shared" si="60"/>
        <v>0</v>
      </c>
      <c r="X100" s="18">
        <f t="shared" si="60"/>
        <v>0</v>
      </c>
      <c r="Y100" s="18">
        <f t="shared" si="60"/>
        <v>0</v>
      </c>
      <c r="Z100" s="18">
        <f t="shared" si="60"/>
        <v>0</v>
      </c>
      <c r="AA100" s="18">
        <f t="shared" si="60"/>
        <v>0</v>
      </c>
      <c r="AB100" s="18">
        <f t="shared" si="60"/>
        <v>0</v>
      </c>
      <c r="AC100" s="18">
        <f t="shared" si="60"/>
        <v>0</v>
      </c>
      <c r="AD100" s="18">
        <f t="shared" si="60"/>
        <v>0</v>
      </c>
      <c r="AE100" s="18">
        <f t="shared" si="60"/>
        <v>0</v>
      </c>
      <c r="AF100" s="18">
        <f t="shared" si="60"/>
        <v>0</v>
      </c>
      <c r="AG100" s="18">
        <f t="shared" si="48"/>
        <v>0</v>
      </c>
      <c r="AH100" s="18">
        <f t="shared" si="48"/>
        <v>0</v>
      </c>
      <c r="AI100" s="18">
        <f t="shared" si="48"/>
        <v>0</v>
      </c>
      <c r="AJ100" s="18">
        <f t="shared" si="48"/>
        <v>0</v>
      </c>
      <c r="AK100" s="18">
        <f t="shared" si="48"/>
        <v>0</v>
      </c>
      <c r="AL100" s="18">
        <f t="shared" si="48"/>
        <v>0</v>
      </c>
      <c r="AM100" s="18">
        <f t="shared" si="48"/>
        <v>0</v>
      </c>
      <c r="AN100" s="18">
        <f t="shared" si="48"/>
        <v>0</v>
      </c>
      <c r="AO100" s="18">
        <f t="shared" si="48"/>
        <v>0</v>
      </c>
      <c r="AP100" s="18">
        <f t="shared" si="48"/>
        <v>0</v>
      </c>
      <c r="AQ100" s="18">
        <f t="shared" si="48"/>
        <v>0</v>
      </c>
      <c r="AR100" s="18">
        <f t="shared" si="48"/>
        <v>0</v>
      </c>
      <c r="AS100" s="18">
        <f t="shared" si="48"/>
        <v>0</v>
      </c>
      <c r="AT100" s="18">
        <f t="shared" si="48"/>
        <v>0</v>
      </c>
      <c r="AU100" s="18">
        <f t="shared" si="48"/>
        <v>0</v>
      </c>
      <c r="AV100" s="18">
        <f t="shared" si="48"/>
        <v>0</v>
      </c>
      <c r="AW100" s="18">
        <f t="shared" si="48"/>
        <v>0</v>
      </c>
      <c r="AX100" s="18">
        <f t="shared" si="48"/>
        <v>0</v>
      </c>
      <c r="AY100" s="18">
        <f t="shared" si="48"/>
        <v>0</v>
      </c>
      <c r="AZ100" s="386">
        <f t="shared" si="48"/>
        <v>0</v>
      </c>
    </row>
    <row r="101" spans="1:52" hidden="1" outlineLevel="1">
      <c r="A101" s="67" t="s">
        <v>166</v>
      </c>
      <c r="B101" s="201"/>
      <c r="C101" s="383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4">
        <f>SUM(C$15:P$15)</f>
        <v>0.2</v>
      </c>
      <c r="Q101" s="385">
        <f t="shared" ref="Q101:AF101" si="61">Q$15</f>
        <v>0</v>
      </c>
      <c r="R101" s="385">
        <f t="shared" si="61"/>
        <v>0</v>
      </c>
      <c r="S101" s="385">
        <f t="shared" si="61"/>
        <v>0</v>
      </c>
      <c r="T101" s="385">
        <f t="shared" si="61"/>
        <v>0</v>
      </c>
      <c r="U101" s="385">
        <f t="shared" si="61"/>
        <v>0</v>
      </c>
      <c r="V101" s="385">
        <f t="shared" si="61"/>
        <v>0</v>
      </c>
      <c r="W101" s="18">
        <f t="shared" si="61"/>
        <v>0</v>
      </c>
      <c r="X101" s="18">
        <f t="shared" si="61"/>
        <v>0</v>
      </c>
      <c r="Y101" s="18">
        <f t="shared" si="61"/>
        <v>0</v>
      </c>
      <c r="Z101" s="18">
        <f t="shared" si="61"/>
        <v>0</v>
      </c>
      <c r="AA101" s="18">
        <f t="shared" si="61"/>
        <v>0</v>
      </c>
      <c r="AB101" s="18">
        <f t="shared" si="61"/>
        <v>0</v>
      </c>
      <c r="AC101" s="18">
        <f t="shared" si="61"/>
        <v>0</v>
      </c>
      <c r="AD101" s="18">
        <f t="shared" si="61"/>
        <v>0</v>
      </c>
      <c r="AE101" s="18">
        <f t="shared" si="61"/>
        <v>0</v>
      </c>
      <c r="AF101" s="18">
        <f t="shared" si="61"/>
        <v>0</v>
      </c>
      <c r="AG101" s="18">
        <f t="shared" si="48"/>
        <v>0</v>
      </c>
      <c r="AH101" s="18">
        <f t="shared" si="48"/>
        <v>0</v>
      </c>
      <c r="AI101" s="18">
        <f t="shared" ref="AI101:AR102" si="62">AI$15</f>
        <v>0</v>
      </c>
      <c r="AJ101" s="18">
        <f t="shared" si="62"/>
        <v>0</v>
      </c>
      <c r="AK101" s="18">
        <f t="shared" si="62"/>
        <v>0</v>
      </c>
      <c r="AL101" s="18">
        <f t="shared" si="62"/>
        <v>0</v>
      </c>
      <c r="AM101" s="18">
        <f t="shared" si="62"/>
        <v>0</v>
      </c>
      <c r="AN101" s="18">
        <f t="shared" si="62"/>
        <v>0</v>
      </c>
      <c r="AO101" s="18">
        <f t="shared" si="62"/>
        <v>0</v>
      </c>
      <c r="AP101" s="18">
        <f t="shared" si="62"/>
        <v>0</v>
      </c>
      <c r="AQ101" s="18">
        <f t="shared" si="62"/>
        <v>0</v>
      </c>
      <c r="AR101" s="18">
        <f t="shared" si="62"/>
        <v>0</v>
      </c>
      <c r="AS101" s="18">
        <f t="shared" ref="AS101:AZ102" si="63">AS$15</f>
        <v>0</v>
      </c>
      <c r="AT101" s="18">
        <f t="shared" si="63"/>
        <v>0</v>
      </c>
      <c r="AU101" s="18">
        <f t="shared" si="63"/>
        <v>0</v>
      </c>
      <c r="AV101" s="18">
        <f t="shared" si="63"/>
        <v>0</v>
      </c>
      <c r="AW101" s="18">
        <f t="shared" si="63"/>
        <v>0</v>
      </c>
      <c r="AX101" s="18">
        <f t="shared" si="63"/>
        <v>0</v>
      </c>
      <c r="AY101" s="18">
        <f t="shared" si="63"/>
        <v>0</v>
      </c>
      <c r="AZ101" s="386">
        <f t="shared" si="63"/>
        <v>0</v>
      </c>
    </row>
    <row r="102" spans="1:52" hidden="1" outlineLevel="1">
      <c r="A102" s="67" t="s">
        <v>167</v>
      </c>
      <c r="B102" s="201"/>
      <c r="C102" s="388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90">
        <f>SUM(C$15:Q$15)</f>
        <v>0.2</v>
      </c>
      <c r="R102" s="391">
        <f t="shared" ref="R102:AH102" si="64">R$15</f>
        <v>0</v>
      </c>
      <c r="S102" s="391">
        <f t="shared" si="64"/>
        <v>0</v>
      </c>
      <c r="T102" s="391">
        <f t="shared" si="64"/>
        <v>0</v>
      </c>
      <c r="U102" s="391">
        <f t="shared" si="64"/>
        <v>0</v>
      </c>
      <c r="V102" s="391">
        <f t="shared" si="64"/>
        <v>0</v>
      </c>
      <c r="W102" s="392">
        <f t="shared" si="64"/>
        <v>0</v>
      </c>
      <c r="X102" s="392">
        <f t="shared" si="64"/>
        <v>0</v>
      </c>
      <c r="Y102" s="392">
        <f t="shared" si="64"/>
        <v>0</v>
      </c>
      <c r="Z102" s="392">
        <f t="shared" si="64"/>
        <v>0</v>
      </c>
      <c r="AA102" s="392">
        <f t="shared" si="64"/>
        <v>0</v>
      </c>
      <c r="AB102" s="392">
        <f t="shared" si="64"/>
        <v>0</v>
      </c>
      <c r="AC102" s="392">
        <f t="shared" si="64"/>
        <v>0</v>
      </c>
      <c r="AD102" s="392">
        <f t="shared" si="64"/>
        <v>0</v>
      </c>
      <c r="AE102" s="392">
        <f t="shared" si="64"/>
        <v>0</v>
      </c>
      <c r="AF102" s="392">
        <f t="shared" si="64"/>
        <v>0</v>
      </c>
      <c r="AG102" s="392">
        <f t="shared" si="64"/>
        <v>0</v>
      </c>
      <c r="AH102" s="392">
        <f t="shared" si="64"/>
        <v>0</v>
      </c>
      <c r="AI102" s="392">
        <f t="shared" si="62"/>
        <v>0</v>
      </c>
      <c r="AJ102" s="392">
        <f t="shared" si="62"/>
        <v>0</v>
      </c>
      <c r="AK102" s="392">
        <f t="shared" si="62"/>
        <v>0</v>
      </c>
      <c r="AL102" s="392">
        <f t="shared" si="62"/>
        <v>0</v>
      </c>
      <c r="AM102" s="392">
        <f t="shared" si="62"/>
        <v>0</v>
      </c>
      <c r="AN102" s="392">
        <f t="shared" si="62"/>
        <v>0</v>
      </c>
      <c r="AO102" s="392">
        <f t="shared" si="62"/>
        <v>0</v>
      </c>
      <c r="AP102" s="392">
        <f t="shared" si="62"/>
        <v>0</v>
      </c>
      <c r="AQ102" s="392">
        <f t="shared" si="62"/>
        <v>0</v>
      </c>
      <c r="AR102" s="392">
        <f t="shared" si="62"/>
        <v>0</v>
      </c>
      <c r="AS102" s="392">
        <f t="shared" si="63"/>
        <v>0</v>
      </c>
      <c r="AT102" s="392">
        <f t="shared" si="63"/>
        <v>0</v>
      </c>
      <c r="AU102" s="392">
        <f t="shared" si="63"/>
        <v>0</v>
      </c>
      <c r="AV102" s="392">
        <f t="shared" si="63"/>
        <v>0</v>
      </c>
      <c r="AW102" s="392">
        <f t="shared" si="63"/>
        <v>0</v>
      </c>
      <c r="AX102" s="392">
        <f t="shared" si="63"/>
        <v>0</v>
      </c>
      <c r="AY102" s="392">
        <f t="shared" si="63"/>
        <v>0</v>
      </c>
      <c r="AZ102" s="393">
        <f t="shared" si="63"/>
        <v>0</v>
      </c>
    </row>
    <row r="103" spans="1:52" hidden="1" outlineLevel="1">
      <c r="A103" s="67"/>
      <c r="B103" s="201"/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  <c r="P103" s="385"/>
      <c r="Q103" s="384"/>
      <c r="R103" s="385"/>
      <c r="S103" s="385"/>
      <c r="T103" s="385"/>
      <c r="U103" s="385"/>
      <c r="V103" s="385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</row>
    <row r="104" spans="1:52" hidden="1" outlineLevel="1">
      <c r="A104" s="578" t="s">
        <v>175</v>
      </c>
    </row>
    <row r="105" spans="1:52" hidden="1" outlineLevel="1">
      <c r="A105" s="67" t="s">
        <v>151</v>
      </c>
      <c r="C105" s="591">
        <f>IF(MOD(C4,'Tableau de bord'!$B$61)=0,(('Tableau de bord'!$C$63)*$C$13)*SUM($C$76:C76),0)</f>
        <v>0</v>
      </c>
      <c r="D105" s="277">
        <f>IF(MOD(D4,'Tableau de bord'!$B$61)=0,(('Tableau de bord'!$C$63)*$C$13)*SUM($C$76:D76),0)</f>
        <v>0</v>
      </c>
      <c r="E105" s="277">
        <f>IF(MOD(E4,'Tableau de bord'!$B$61)=0,(('Tableau de bord'!$C$63)*$C$13)*SUM($C$76:E76),0)</f>
        <v>0</v>
      </c>
      <c r="F105" s="277">
        <f>IF(MOD(F4,'Tableau de bord'!$B$61)=0,(('Tableau de bord'!$C$63)*$C$13)*SUM($C$76:F76),0)</f>
        <v>0</v>
      </c>
      <c r="G105" s="277">
        <f>IF(MOD(G4,'Tableau de bord'!$B$61)=0,(('Tableau de bord'!$C$63)*$C$13)*SUM($C$76:G76),0)</f>
        <v>0</v>
      </c>
      <c r="H105" s="277">
        <f>IF(MOD(H4,'Tableau de bord'!$B$61)=0,(('Tableau de bord'!$C$63)*$C$13)*SUM($C$76:H76),0)</f>
        <v>0</v>
      </c>
      <c r="I105" s="277">
        <f>IF(MOD(I4,'Tableau de bord'!$B$61)=0,(('Tableau de bord'!$C$63)*$C$13)*SUM($C$76:I76),0)</f>
        <v>0</v>
      </c>
      <c r="J105" s="277">
        <f>IF(MOD(J4,'Tableau de bord'!$B$61)=0,(('Tableau de bord'!$C$63)*$C$13)*SUM($C$76:J76),0)</f>
        <v>0</v>
      </c>
      <c r="K105" s="277">
        <f>IF(MOD(K4,'Tableau de bord'!$B$61)=0,(('Tableau de bord'!$C$63)*$C$13)*SUM($C$76:K76),0)</f>
        <v>0</v>
      </c>
      <c r="L105" s="277">
        <f>IF(MOD(L4,'Tableau de bord'!$B$61)=0,(('Tableau de bord'!$C$63)*$C$13)*SUM($C$76:L76),0)</f>
        <v>0</v>
      </c>
      <c r="M105" s="277">
        <f>IF(MOD(M4,'Tableau de bord'!$B$61)=0,(('Tableau de bord'!$C$63)*$C$13)*SUM($C$76:M76),0)</f>
        <v>0</v>
      </c>
      <c r="N105" s="277">
        <f>IF(MOD(N4,'Tableau de bord'!$B$61)=0,(('Tableau de bord'!$C$63)*$C$13)*SUM($C$76:N76),0)</f>
        <v>0</v>
      </c>
      <c r="O105" s="277">
        <f>IF(MOD(O4,'Tableau de bord'!$B$61)=0,(('Tableau de bord'!$C$63)*$C$13)*SUM($C$76:O76),0)</f>
        <v>0</v>
      </c>
      <c r="P105" s="277">
        <f>IF(MOD(P4,'Tableau de bord'!$B$61)=0,(('Tableau de bord'!$C$63)*$C$13)*SUM($C$76:P76),0)</f>
        <v>0</v>
      </c>
      <c r="Q105" s="277">
        <f>IF(MOD(Q4,'Tableau de bord'!$B$61)=0,(('Tableau de bord'!$C$63)*$C$13)*SUM($C$76:Q76),0)</f>
        <v>0</v>
      </c>
      <c r="R105" s="277">
        <f>IF(MOD(R4,'Tableau de bord'!$B$61)=0,(('Tableau de bord'!$C$63)*$C$13)*SUM($C$76:R76),0)</f>
        <v>0</v>
      </c>
      <c r="S105" s="277">
        <f>IF(MOD(S4,'Tableau de bord'!$B$61)=0,(('Tableau de bord'!$C$63)*$C$13)*SUM($C$76:S76),0)</f>
        <v>0</v>
      </c>
      <c r="T105" s="277">
        <f>IF(MOD(T4,'Tableau de bord'!$B$61)=0,(('Tableau de bord'!$C$63)*$C$13)*SUM($C$76:T76),0)</f>
        <v>0</v>
      </c>
      <c r="U105" s="277">
        <f>IF(MOD(U4,'Tableau de bord'!$B$61)=0,(('Tableau de bord'!$C$63)*$C$13)*SUM($C$76:U76),0)</f>
        <v>0</v>
      </c>
      <c r="V105" s="277">
        <f>IF(MOD(V4,'Tableau de bord'!$B$61)=0,(('Tableau de bord'!$C$63)*$C$13)*SUM($C$76:V76),0)</f>
        <v>1600</v>
      </c>
      <c r="W105" s="277">
        <f>IF(MOD(W4,'Tableau de bord'!$B$61)=0,(('Tableau de bord'!$C$63)*$C$13)*SUM($C$76:W76),0)</f>
        <v>0</v>
      </c>
      <c r="X105" s="277">
        <f>IF(MOD(X4,'Tableau de bord'!$B$61)=0,(('Tableau de bord'!$C$63)*$C$13)*SUM($C$76:X76),0)</f>
        <v>0</v>
      </c>
      <c r="Y105" s="277">
        <f>IF(MOD(Y4,'Tableau de bord'!$B$61)=0,(('Tableau de bord'!$C$63)*$C$13)*SUM($C$76:Y76),0)</f>
        <v>0</v>
      </c>
      <c r="Z105" s="277">
        <f>IF(MOD(Z4,'Tableau de bord'!$B$61)=0,(('Tableau de bord'!$C$63)*$C$13)*SUM($C$76:Z76),0)</f>
        <v>0</v>
      </c>
      <c r="AA105" s="277">
        <f>IF(MOD(AA4,'Tableau de bord'!$B$61)=0,(('Tableau de bord'!$C$63)*$C$13)*SUM($C$76:AA76),0)</f>
        <v>0</v>
      </c>
      <c r="AB105" s="277">
        <f>IF(MOD(AB4,'Tableau de bord'!$B$61)=0,(('Tableau de bord'!$C$63)*$C$13)*SUM($C$76:AB76),0)</f>
        <v>0</v>
      </c>
      <c r="AC105" s="277">
        <f>IF(MOD(AC4,'Tableau de bord'!$B$61)=0,(('Tableau de bord'!$C$63)*$C$13)*SUM($C$76:AC76),0)</f>
        <v>0</v>
      </c>
      <c r="AD105" s="277">
        <f>IF(MOD(AD4,'Tableau de bord'!$B$61)=0,(('Tableau de bord'!$C$63)*$C$13)*SUM($C$76:AD76),0)</f>
        <v>0</v>
      </c>
      <c r="AE105" s="277">
        <f>IF(MOD(AE4,'Tableau de bord'!$B$61)=0,(('Tableau de bord'!$C$63)*$C$13)*SUM($C$76:AE76),0)</f>
        <v>0</v>
      </c>
      <c r="AF105" s="277">
        <f>IF(MOD(AF4,'Tableau de bord'!$B$61)=0,(('Tableau de bord'!$C$63)*$C$13)*SUM($C$76:AF76),0)</f>
        <v>0</v>
      </c>
      <c r="AG105" s="277">
        <f>IF(MOD(AG4,'Tableau de bord'!$B$61)=0,(('Tableau de bord'!$C$63)*$C$13)*SUM($C$76:AG76),0)</f>
        <v>0</v>
      </c>
      <c r="AH105" s="277">
        <f>IF(MOD(AH4,'Tableau de bord'!$B$61)=0,(('Tableau de bord'!$C$63)*$C$13)*SUM($C$76:AH76),0)</f>
        <v>0</v>
      </c>
      <c r="AI105" s="277">
        <f>IF(MOD(AI4,'Tableau de bord'!$B$61)=0,(('Tableau de bord'!$C$63)*$C$13)*SUM($C$76:AI76),0)</f>
        <v>0</v>
      </c>
      <c r="AJ105" s="277">
        <f>IF(MOD(AJ4,'Tableau de bord'!$B$61)=0,(('Tableau de bord'!$C$63)*$C$13)*SUM($C$76:AJ76),0)</f>
        <v>0</v>
      </c>
      <c r="AK105" s="277">
        <f>IF(MOD(AK4,'Tableau de bord'!$B$61)=0,(('Tableau de bord'!$C$63)*$C$13)*SUM($C$76:AK76),0)</f>
        <v>0</v>
      </c>
      <c r="AL105" s="277">
        <f>IF(MOD(AL4,'Tableau de bord'!$B$61)=0,(('Tableau de bord'!$C$63)*$C$13)*SUM($C$76:AL76),0)</f>
        <v>0</v>
      </c>
      <c r="AM105" s="277">
        <f>IF(MOD(AM4,'Tableau de bord'!$B$61)=0,(('Tableau de bord'!$C$63)*$C$13)*SUM($C$76:AM76),0)</f>
        <v>0</v>
      </c>
      <c r="AN105" s="277">
        <f>IF(MOD(AN4,'Tableau de bord'!$B$61)=0,(('Tableau de bord'!$C$63)*$C$13)*SUM($C$76:AN76),0)</f>
        <v>0</v>
      </c>
      <c r="AO105" s="277">
        <f>IF(MOD(AO4,'Tableau de bord'!$B$61)=0,(('Tableau de bord'!$C$63)*$C$13)*SUM($C$76:AO76),0)</f>
        <v>0</v>
      </c>
      <c r="AP105" s="277">
        <f>IF(MOD(AP4,'Tableau de bord'!$B$61)=0,(('Tableau de bord'!$C$63)*$C$13)*SUM($C$76:AP76),0)</f>
        <v>1600</v>
      </c>
      <c r="AQ105" s="277">
        <f>IF(MOD(AQ4,'Tableau de bord'!$B$61)=0,(('Tableau de bord'!$C$63)*$C$13)*SUM($C$76:AQ76),0)</f>
        <v>0</v>
      </c>
      <c r="AR105" s="277">
        <f>IF(MOD(AR4,'Tableau de bord'!$B$61)=0,(('Tableau de bord'!$C$63)*$C$13)*SUM($C$76:AR76),0)</f>
        <v>0</v>
      </c>
      <c r="AS105" s="277">
        <f>IF(MOD(AS4,'Tableau de bord'!$B$61)=0,(('Tableau de bord'!$C$63)*$C$13)*SUM($C$76:AS76),0)</f>
        <v>0</v>
      </c>
      <c r="AT105" s="277">
        <f>IF(MOD(AT4,'Tableau de bord'!$B$61)=0,(('Tableau de bord'!$C$63)*$C$13)*SUM($C$76:AT76),0)</f>
        <v>0</v>
      </c>
      <c r="AU105" s="277">
        <f>IF(MOD(AU4,'Tableau de bord'!$B$61)=0,(('Tableau de bord'!$C$63)*$C$13)*SUM($C$76:AU76),0)</f>
        <v>0</v>
      </c>
      <c r="AV105" s="277">
        <f>IF(MOD(AV4,'Tableau de bord'!$B$61)=0,(('Tableau de bord'!$C$63)*$C$13)*SUM($C$76:AV76),0)</f>
        <v>0</v>
      </c>
      <c r="AW105" s="277">
        <f>IF(MOD(AW4,'Tableau de bord'!$B$61)=0,(('Tableau de bord'!$C$63)*$C$13)*SUM($C$76:AW76),0)</f>
        <v>0</v>
      </c>
      <c r="AX105" s="277">
        <f>IF(MOD(AX4,'Tableau de bord'!$B$61)=0,(('Tableau de bord'!$C$63)*$C$13)*SUM($C$76:AX76),0)</f>
        <v>0</v>
      </c>
      <c r="AY105" s="277">
        <f>IF(MOD(AY4,'Tableau de bord'!$B$61)=0,(('Tableau de bord'!$C$63)*$C$13)*SUM($C$76:AY76),0)</f>
        <v>0</v>
      </c>
      <c r="AZ105" s="592">
        <f>IF(MOD(AZ4,'Tableau de bord'!$B$61)=0,(('Tableau de bord'!$C$63)*$C$13)*SUM($C$76:AZ76),0)</f>
        <v>0</v>
      </c>
    </row>
    <row r="106" spans="1:52" hidden="1" outlineLevel="1">
      <c r="A106" s="67" t="s">
        <v>152</v>
      </c>
      <c r="C106" s="360"/>
      <c r="D106" s="278">
        <f>IF(MOD(C4,'Tableau de bord'!$B$61)=0,(('Tableau de bord'!$C$63)*$D$13)*SUM($D$77:D77),0)</f>
        <v>0</v>
      </c>
      <c r="E106" s="278">
        <f>IF(MOD(D4,'Tableau de bord'!$B$61)=0,(('Tableau de bord'!$C$63)*$D$13)*SUM($D$77:E77),0)</f>
        <v>0</v>
      </c>
      <c r="F106" s="278">
        <f>IF(MOD(E4,'Tableau de bord'!$B$61)=0,(('Tableau de bord'!$C$63)*$D$13)*SUM($D$77:F77),0)</f>
        <v>0</v>
      </c>
      <c r="G106" s="278">
        <f>IF(MOD(F4,'Tableau de bord'!$B$61)=0,(('Tableau de bord'!$C$63)*$D$13)*SUM($D$77:G77),0)</f>
        <v>0</v>
      </c>
      <c r="H106" s="278">
        <f>IF(MOD(G4,'Tableau de bord'!$B$61)=0,(('Tableau de bord'!$C$63)*$D$13)*SUM($D$77:H77),0)</f>
        <v>0</v>
      </c>
      <c r="I106" s="278">
        <f>IF(MOD(H4,'Tableau de bord'!$B$61)=0,(('Tableau de bord'!$C$63)*$D$13)*SUM($D$77:I77),0)</f>
        <v>0</v>
      </c>
      <c r="J106" s="278">
        <f>IF(MOD(I4,'Tableau de bord'!$B$61)=0,(('Tableau de bord'!$C$63)*$D$13)*SUM($D$77:J77),0)</f>
        <v>0</v>
      </c>
      <c r="K106" s="278">
        <f>IF(MOD(J4,'Tableau de bord'!$B$61)=0,(('Tableau de bord'!$C$63)*$D$13)*SUM($D$77:K77),0)</f>
        <v>0</v>
      </c>
      <c r="L106" s="278">
        <f>IF(MOD(K4,'Tableau de bord'!$B$61)=0,(('Tableau de bord'!$C$63)*$D$13)*SUM($D$77:L77),0)</f>
        <v>0</v>
      </c>
      <c r="M106" s="278">
        <f>IF(MOD(L4,'Tableau de bord'!$B$61)=0,(('Tableau de bord'!$C$63)*$D$13)*SUM($D$77:M77),0)</f>
        <v>0</v>
      </c>
      <c r="N106" s="278">
        <f>IF(MOD(M4,'Tableau de bord'!$B$61)=0,(('Tableau de bord'!$C$63)*$D$13)*SUM($D$77:N77),0)</f>
        <v>0</v>
      </c>
      <c r="O106" s="278">
        <f>IF(MOD(N4,'Tableau de bord'!$B$61)=0,(('Tableau de bord'!$C$63)*$D$13)*SUM($D$77:O77),0)</f>
        <v>0</v>
      </c>
      <c r="P106" s="278">
        <f>IF(MOD(O4,'Tableau de bord'!$B$61)=0,(('Tableau de bord'!$C$63)*$D$13)*SUM($D$77:P77),0)</f>
        <v>0</v>
      </c>
      <c r="Q106" s="278">
        <f>IF(MOD(P4,'Tableau de bord'!$B$61)=0,(('Tableau de bord'!$C$63)*$D$13)*SUM($D$77:Q77),0)</f>
        <v>0</v>
      </c>
      <c r="R106" s="278">
        <f>IF(MOD(Q4,'Tableau de bord'!$B$61)=0,(('Tableau de bord'!$C$63)*$D$13)*SUM($D$77:R77),0)</f>
        <v>0</v>
      </c>
      <c r="S106" s="278">
        <f>IF(MOD(R4,'Tableau de bord'!$B$61)=0,(('Tableau de bord'!$C$63)*$D$13)*SUM($D$77:S77),0)</f>
        <v>0</v>
      </c>
      <c r="T106" s="278">
        <f>IF(MOD(S4,'Tableau de bord'!$B$61)=0,(('Tableau de bord'!$C$63)*$D$13)*SUM($D$77:T77),0)</f>
        <v>0</v>
      </c>
      <c r="U106" s="278">
        <f>IF(MOD(T4,'Tableau de bord'!$B$61)=0,(('Tableau de bord'!$C$63)*$D$13)*SUM($D$77:U77),0)</f>
        <v>0</v>
      </c>
      <c r="V106" s="278">
        <f>IF(MOD(U4,'Tableau de bord'!$B$61)=0,(('Tableau de bord'!$C$63)*$D$13)*SUM($D$77:V77),0)</f>
        <v>0</v>
      </c>
      <c r="W106" s="278">
        <f>IF(MOD(V4,'Tableau de bord'!$B$61)=0,(('Tableau de bord'!$C$63)*$D$13)*SUM($D$77:W77),0)</f>
        <v>2600</v>
      </c>
      <c r="X106" s="278">
        <f>IF(MOD(W4,'Tableau de bord'!$B$61)=0,(('Tableau de bord'!$C$63)*$D$13)*SUM($D$77:X77),0)</f>
        <v>0</v>
      </c>
      <c r="Y106" s="278">
        <f>IF(MOD(X4,'Tableau de bord'!$B$61)=0,(('Tableau de bord'!$C$63)*$D$13)*SUM($D$77:Y77),0)</f>
        <v>0</v>
      </c>
      <c r="Z106" s="278">
        <f>IF(MOD(Y4,'Tableau de bord'!$B$61)=0,(('Tableau de bord'!$C$63)*$D$13)*SUM($D$77:Z77),0)</f>
        <v>0</v>
      </c>
      <c r="AA106" s="278">
        <f>IF(MOD(Z4,'Tableau de bord'!$B$61)=0,(('Tableau de bord'!$C$63)*$D$13)*SUM($D$77:AA77),0)</f>
        <v>0</v>
      </c>
      <c r="AB106" s="278">
        <f>IF(MOD(AA4,'Tableau de bord'!$B$61)=0,(('Tableau de bord'!$C$63)*$D$13)*SUM($D$77:AB77),0)</f>
        <v>0</v>
      </c>
      <c r="AC106" s="278">
        <f>IF(MOD(AB4,'Tableau de bord'!$B$61)=0,(('Tableau de bord'!$C$63)*$D$13)*SUM($D$77:AC77),0)</f>
        <v>0</v>
      </c>
      <c r="AD106" s="278">
        <f>IF(MOD(AC4,'Tableau de bord'!$B$61)=0,(('Tableau de bord'!$C$63)*$D$13)*SUM($D$77:AD77),0)</f>
        <v>0</v>
      </c>
      <c r="AE106" s="278">
        <f>IF(MOD(AD4,'Tableau de bord'!$B$61)=0,(('Tableau de bord'!$C$63)*$D$13)*SUM($D$77:AE77),0)</f>
        <v>0</v>
      </c>
      <c r="AF106" s="278">
        <f>IF(MOD(AE4,'Tableau de bord'!$B$61)=0,(('Tableau de bord'!$C$63)*$D$13)*SUM($D$77:AF77),0)</f>
        <v>0</v>
      </c>
      <c r="AG106" s="278">
        <f>IF(MOD(AF4,'Tableau de bord'!$B$61)=0,(('Tableau de bord'!$C$63)*$D$13)*SUM($D$77:AG77),0)</f>
        <v>0</v>
      </c>
      <c r="AH106" s="278">
        <f>IF(MOD(AG4,'Tableau de bord'!$B$61)=0,(('Tableau de bord'!$C$63)*$D$13)*SUM($D$77:AH77),0)</f>
        <v>0</v>
      </c>
      <c r="AI106" s="278">
        <f>IF(MOD(AH4,'Tableau de bord'!$B$61)=0,(('Tableau de bord'!$C$63)*$D$13)*SUM($D$77:AI77),0)</f>
        <v>0</v>
      </c>
      <c r="AJ106" s="278">
        <f>IF(MOD(AI4,'Tableau de bord'!$B$61)=0,(('Tableau de bord'!$C$63)*$D$13)*SUM($D$77:AJ77),0)</f>
        <v>0</v>
      </c>
      <c r="AK106" s="278">
        <f>IF(MOD(AJ4,'Tableau de bord'!$B$61)=0,(('Tableau de bord'!$C$63)*$D$13)*SUM($D$77:AK77),0)</f>
        <v>0</v>
      </c>
      <c r="AL106" s="278">
        <f>IF(MOD(AK4,'Tableau de bord'!$B$61)=0,(('Tableau de bord'!$C$63)*$D$13)*SUM($D$77:AL77),0)</f>
        <v>0</v>
      </c>
      <c r="AM106" s="278">
        <f>IF(MOD(AL4,'Tableau de bord'!$B$61)=0,(('Tableau de bord'!$C$63)*$D$13)*SUM($D$77:AM77),0)</f>
        <v>0</v>
      </c>
      <c r="AN106" s="278">
        <f>IF(MOD(AM4,'Tableau de bord'!$B$61)=0,(('Tableau de bord'!$C$63)*$D$13)*SUM($D$77:AN77),0)</f>
        <v>0</v>
      </c>
      <c r="AO106" s="278">
        <f>IF(MOD(AN4,'Tableau de bord'!$B$61)=0,(('Tableau de bord'!$C$63)*$D$13)*SUM($D$77:AO77),0)</f>
        <v>0</v>
      </c>
      <c r="AP106" s="278">
        <f>IF(MOD(AO4,'Tableau de bord'!$B$61)=0,(('Tableau de bord'!$C$63)*$D$13)*SUM($D$77:AP77),0)</f>
        <v>0</v>
      </c>
      <c r="AQ106" s="278">
        <f>IF(MOD(AP4,'Tableau de bord'!$B$61)=0,(('Tableau de bord'!$C$63)*$D$13)*SUM($D$77:AQ77),0)</f>
        <v>2600</v>
      </c>
      <c r="AR106" s="278">
        <f>IF(MOD(AQ4,'Tableau de bord'!$B$61)=0,(('Tableau de bord'!$C$63)*$D$13)*SUM($D$77:AR77),0)</f>
        <v>0</v>
      </c>
      <c r="AS106" s="278">
        <f>IF(MOD(AR4,'Tableau de bord'!$B$61)=0,(('Tableau de bord'!$C$63)*$D$13)*SUM($D$77:AS77),0)</f>
        <v>0</v>
      </c>
      <c r="AT106" s="278">
        <f>IF(MOD(AS4,'Tableau de bord'!$B$61)=0,(('Tableau de bord'!$C$63)*$D$13)*SUM($D$77:AT77),0)</f>
        <v>0</v>
      </c>
      <c r="AU106" s="278">
        <f>IF(MOD(AT4,'Tableau de bord'!$B$61)=0,(('Tableau de bord'!$C$63)*$D$13)*SUM($D$77:AU77),0)</f>
        <v>0</v>
      </c>
      <c r="AV106" s="278">
        <f>IF(MOD(AU4,'Tableau de bord'!$B$61)=0,(('Tableau de bord'!$C$63)*$D$13)*SUM($D$77:AV77),0)</f>
        <v>0</v>
      </c>
      <c r="AW106" s="278">
        <f>IF(MOD(AV4,'Tableau de bord'!$B$61)=0,(('Tableau de bord'!$C$63)*$D$13)*SUM($D$77:AW77),0)</f>
        <v>0</v>
      </c>
      <c r="AX106" s="278">
        <f>IF(MOD(AW4,'Tableau de bord'!$B$61)=0,(('Tableau de bord'!$C$63)*$D$13)*SUM($D$77:AX77),0)</f>
        <v>0</v>
      </c>
      <c r="AY106" s="278">
        <f>IF(MOD(AX4,'Tableau de bord'!$B$61)=0,(('Tableau de bord'!$C$63)*$D$13)*SUM($D$77:AY77),0)</f>
        <v>0</v>
      </c>
      <c r="AZ106" s="593">
        <f>IF(MOD(AY4,'Tableau de bord'!$B$61)=0,(('Tableau de bord'!$C$63)*$D$13)*SUM($D$77:AZ77),0)</f>
        <v>0</v>
      </c>
    </row>
    <row r="107" spans="1:52" hidden="1" outlineLevel="1">
      <c r="A107" s="67" t="s">
        <v>153</v>
      </c>
      <c r="C107" s="360"/>
      <c r="D107" s="364"/>
      <c r="E107" s="278">
        <f>IF(MOD(C4,'Tableau de bord'!$B$61)=0,(('Tableau de bord'!$C$63)*$E$13)*SUM($E$78:E78),0)</f>
        <v>0</v>
      </c>
      <c r="F107" s="278">
        <f>IF(MOD(D4,'Tableau de bord'!$B$61)=0,(('Tableau de bord'!$C$63)*$E$13)*SUM($E$78:F78),0)</f>
        <v>0</v>
      </c>
      <c r="G107" s="278">
        <f>IF(MOD(E4,'Tableau de bord'!$B$61)=0,(('Tableau de bord'!$C$63)*$E$13)*SUM($E$78:G78),0)</f>
        <v>0</v>
      </c>
      <c r="H107" s="278">
        <f>IF(MOD(F4,'Tableau de bord'!$B$61)=0,(('Tableau de bord'!$C$63)*$E$13)*SUM($E$78:H78),0)</f>
        <v>0</v>
      </c>
      <c r="I107" s="278">
        <f>IF(MOD(G4,'Tableau de bord'!$B$61)=0,(('Tableau de bord'!$C$63)*$E$13)*SUM($E$78:I78),0)</f>
        <v>0</v>
      </c>
      <c r="J107" s="278">
        <f>IF(MOD(H4,'Tableau de bord'!$B$61)=0,(('Tableau de bord'!$C$63)*$E$13)*SUM($E$78:J78),0)</f>
        <v>0</v>
      </c>
      <c r="K107" s="278">
        <f>IF(MOD(I4,'Tableau de bord'!$B$61)=0,(('Tableau de bord'!$C$63)*$E$13)*SUM($E$78:K78),0)</f>
        <v>0</v>
      </c>
      <c r="L107" s="278">
        <f>IF(MOD(J4,'Tableau de bord'!$B$61)=0,(('Tableau de bord'!$C$63)*$E$13)*SUM($E$78:L78),0)</f>
        <v>0</v>
      </c>
      <c r="M107" s="278">
        <f>IF(MOD(K4,'Tableau de bord'!$B$61)=0,(('Tableau de bord'!$C$63)*$E$13)*SUM($E$78:M78),0)</f>
        <v>0</v>
      </c>
      <c r="N107" s="278">
        <f>IF(MOD(L4,'Tableau de bord'!$B$61)=0,(('Tableau de bord'!$C$63)*$E$13)*SUM($E$78:N78),0)</f>
        <v>0</v>
      </c>
      <c r="O107" s="278">
        <f>IF(MOD(M4,'Tableau de bord'!$B$61)=0,(('Tableau de bord'!$C$63)*$E$13)*SUM($E$78:O78),0)</f>
        <v>0</v>
      </c>
      <c r="P107" s="278">
        <f>IF(MOD(N4,'Tableau de bord'!$B$61)=0,(('Tableau de bord'!$C$63)*$E$13)*SUM($E$78:P78),0)</f>
        <v>0</v>
      </c>
      <c r="Q107" s="278">
        <f>IF(MOD(O4,'Tableau de bord'!$B$61)=0,(('Tableau de bord'!$C$63)*$E$13)*SUM($E$78:Q78),0)</f>
        <v>0</v>
      </c>
      <c r="R107" s="278">
        <f>IF(MOD(P4,'Tableau de bord'!$B$61)=0,(('Tableau de bord'!$C$63)*$E$13)*SUM($E$78:R78),0)</f>
        <v>0</v>
      </c>
      <c r="S107" s="278">
        <f>IF(MOD(Q4,'Tableau de bord'!$B$61)=0,(('Tableau de bord'!$C$63)*$E$13)*SUM($E$78:S78),0)</f>
        <v>0</v>
      </c>
      <c r="T107" s="278">
        <f>IF(MOD(R4,'Tableau de bord'!$B$61)=0,(('Tableau de bord'!$C$63)*$E$13)*SUM($E$78:T78),0)</f>
        <v>0</v>
      </c>
      <c r="U107" s="278">
        <f>IF(MOD(S4,'Tableau de bord'!$B$61)=0,(('Tableau de bord'!$C$63)*$E$13)*SUM($E$78:U78),0)</f>
        <v>0</v>
      </c>
      <c r="V107" s="278">
        <f>IF(MOD(T4,'Tableau de bord'!$B$61)=0,(('Tableau de bord'!$C$63)*$E$13)*SUM($E$78:V78),0)</f>
        <v>0</v>
      </c>
      <c r="W107" s="278">
        <f>IF(MOD(U4,'Tableau de bord'!$B$61)=0,(('Tableau de bord'!$C$63)*$E$13)*SUM($E$78:W78),0)</f>
        <v>0</v>
      </c>
      <c r="X107" s="278">
        <f>IF(MOD(V4,'Tableau de bord'!$B$61)=0,(('Tableau de bord'!$C$63)*$E$13)*SUM($E$78:X78),0)</f>
        <v>3000</v>
      </c>
      <c r="Y107" s="278">
        <f>IF(MOD(W4,'Tableau de bord'!$B$61)=0,(('Tableau de bord'!$C$63)*$E$13)*SUM($E$78:Y78),0)</f>
        <v>0</v>
      </c>
      <c r="Z107" s="278">
        <f>IF(MOD(X4,'Tableau de bord'!$B$61)=0,(('Tableau de bord'!$C$63)*$E$13)*SUM($E$78:Z78),0)</f>
        <v>0</v>
      </c>
      <c r="AA107" s="278">
        <f>IF(MOD(Y4,'Tableau de bord'!$B$61)=0,(('Tableau de bord'!$C$63)*$E$13)*SUM($E$78:AA78),0)</f>
        <v>0</v>
      </c>
      <c r="AB107" s="278">
        <f>IF(MOD(Z4,'Tableau de bord'!$B$61)=0,(('Tableau de bord'!$C$63)*$E$13)*SUM($E$78:AB78),0)</f>
        <v>0</v>
      </c>
      <c r="AC107" s="278">
        <f>IF(MOD(AA4,'Tableau de bord'!$B$61)=0,(('Tableau de bord'!$C$63)*$E$13)*SUM($E$78:AC78),0)</f>
        <v>0</v>
      </c>
      <c r="AD107" s="278">
        <f>IF(MOD(AB4,'Tableau de bord'!$B$61)=0,(('Tableau de bord'!$C$63)*$E$13)*SUM($E$78:AD78),0)</f>
        <v>0</v>
      </c>
      <c r="AE107" s="278">
        <f>IF(MOD(AC4,'Tableau de bord'!$B$61)=0,(('Tableau de bord'!$C$63)*$E$13)*SUM($E$78:AE78),0)</f>
        <v>0</v>
      </c>
      <c r="AF107" s="278">
        <f>IF(MOD(AD4,'Tableau de bord'!$B$61)=0,(('Tableau de bord'!$C$63)*$E$13)*SUM($E$78:AF78),0)</f>
        <v>0</v>
      </c>
      <c r="AG107" s="278">
        <f>IF(MOD(AE4,'Tableau de bord'!$B$61)=0,(('Tableau de bord'!$C$63)*$E$13)*SUM($E$78:AG78),0)</f>
        <v>0</v>
      </c>
      <c r="AH107" s="278">
        <f>IF(MOD(AF4,'Tableau de bord'!$B$61)=0,(('Tableau de bord'!$C$63)*$E$13)*SUM($E$78:AH78),0)</f>
        <v>0</v>
      </c>
      <c r="AI107" s="278">
        <f>IF(MOD(AG4,'Tableau de bord'!$B$61)=0,(('Tableau de bord'!$C$63)*$E$13)*SUM($E$78:AI78),0)</f>
        <v>0</v>
      </c>
      <c r="AJ107" s="278">
        <f>IF(MOD(AH4,'Tableau de bord'!$B$61)=0,(('Tableau de bord'!$C$63)*$E$13)*SUM($E$78:AJ78),0)</f>
        <v>0</v>
      </c>
      <c r="AK107" s="278">
        <f>IF(MOD(AI4,'Tableau de bord'!$B$61)=0,(('Tableau de bord'!$C$63)*$E$13)*SUM($E$78:AK78),0)</f>
        <v>0</v>
      </c>
      <c r="AL107" s="278">
        <f>IF(MOD(AJ4,'Tableau de bord'!$B$61)=0,(('Tableau de bord'!$C$63)*$E$13)*SUM($E$78:AL78),0)</f>
        <v>0</v>
      </c>
      <c r="AM107" s="278">
        <f>IF(MOD(AK4,'Tableau de bord'!$B$61)=0,(('Tableau de bord'!$C$63)*$E$13)*SUM($E$78:AM78),0)</f>
        <v>0</v>
      </c>
      <c r="AN107" s="278">
        <f>IF(MOD(AL4,'Tableau de bord'!$B$61)=0,(('Tableau de bord'!$C$63)*$E$13)*SUM($E$78:AN78),0)</f>
        <v>0</v>
      </c>
      <c r="AO107" s="278">
        <f>IF(MOD(AM4,'Tableau de bord'!$B$61)=0,(('Tableau de bord'!$C$63)*$E$13)*SUM($E$78:AO78),0)</f>
        <v>0</v>
      </c>
      <c r="AP107" s="278">
        <f>IF(MOD(AN4,'Tableau de bord'!$B$61)=0,(('Tableau de bord'!$C$63)*$E$13)*SUM($E$78:AP78),0)</f>
        <v>0</v>
      </c>
      <c r="AQ107" s="278">
        <f>IF(MOD(AO4,'Tableau de bord'!$B$61)=0,(('Tableau de bord'!$C$63)*$E$13)*SUM($E$78:AQ78),0)</f>
        <v>0</v>
      </c>
      <c r="AR107" s="278">
        <f>IF(MOD(AP4,'Tableau de bord'!$B$61)=0,(('Tableau de bord'!$C$63)*$E$13)*SUM($E$78:AR78),0)</f>
        <v>3000</v>
      </c>
      <c r="AS107" s="278">
        <f>IF(MOD(AQ4,'Tableau de bord'!$B$61)=0,(('Tableau de bord'!$C$63)*$E$13)*SUM($E$78:AS78),0)</f>
        <v>0</v>
      </c>
      <c r="AT107" s="278">
        <f>IF(MOD(AR4,'Tableau de bord'!$B$61)=0,(('Tableau de bord'!$C$63)*$E$13)*SUM($E$78:AT78),0)</f>
        <v>0</v>
      </c>
      <c r="AU107" s="278">
        <f>IF(MOD(AS4,'Tableau de bord'!$B$61)=0,(('Tableau de bord'!$C$63)*$E$13)*SUM($E$78:AU78),0)</f>
        <v>0</v>
      </c>
      <c r="AV107" s="278">
        <f>IF(MOD(AT4,'Tableau de bord'!$B$61)=0,(('Tableau de bord'!$C$63)*$E$13)*SUM($E$78:AV78),0)</f>
        <v>0</v>
      </c>
      <c r="AW107" s="278">
        <f>IF(MOD(AU4,'Tableau de bord'!$B$61)=0,(('Tableau de bord'!$C$63)*$E$13)*SUM($E$78:AW78),0)</f>
        <v>0</v>
      </c>
      <c r="AX107" s="278">
        <f>IF(MOD(AV4,'Tableau de bord'!$B$61)=0,(('Tableau de bord'!$C$63)*$E$13)*SUM($E$78:AX78),0)</f>
        <v>0</v>
      </c>
      <c r="AY107" s="278">
        <f>IF(MOD(AW4,'Tableau de bord'!$B$61)=0,(('Tableau de bord'!$C$63)*$E$13)*SUM($E$78:AY78),0)</f>
        <v>0</v>
      </c>
      <c r="AZ107" s="593">
        <f>IF(MOD(AX4,'Tableau de bord'!$B$61)=0,(('Tableau de bord'!$C$63)*$E$13)*SUM($E$78:AZ78),0)</f>
        <v>0</v>
      </c>
    </row>
    <row r="108" spans="1:52" hidden="1" outlineLevel="1">
      <c r="A108" s="67" t="s">
        <v>154</v>
      </c>
      <c r="C108" s="360"/>
      <c r="D108" s="364"/>
      <c r="E108" s="364"/>
      <c r="F108" s="278">
        <f>IF(MOD(C4,'Tableau de bord'!$B$61)=0,(('Tableau de bord'!$C$63)*$F$13)*SUM($F$79:F79),0)</f>
        <v>0</v>
      </c>
      <c r="G108" s="278">
        <f>IF(MOD(D4,'Tableau de bord'!$B$61)=0,(('Tableau de bord'!$C$63)*$F$13)*SUM($F$79:G79),0)</f>
        <v>0</v>
      </c>
      <c r="H108" s="278">
        <f>IF(MOD(E4,'Tableau de bord'!$B$61)=0,(('Tableau de bord'!$C$63)*$F$13)*SUM($F$79:H79),0)</f>
        <v>0</v>
      </c>
      <c r="I108" s="278">
        <f>IF(MOD(F4,'Tableau de bord'!$B$61)=0,(('Tableau de bord'!$C$63)*$F$13)*SUM($F$79:I79),0)</f>
        <v>0</v>
      </c>
      <c r="J108" s="278">
        <f>IF(MOD(G4,'Tableau de bord'!$B$61)=0,(('Tableau de bord'!$C$63)*$F$13)*SUM($F$79:J79),0)</f>
        <v>0</v>
      </c>
      <c r="K108" s="278">
        <f>IF(MOD(H4,'Tableau de bord'!$B$61)=0,(('Tableau de bord'!$C$63)*$F$13)*SUM($F$79:K79),0)</f>
        <v>0</v>
      </c>
      <c r="L108" s="278">
        <f>IF(MOD(I4,'Tableau de bord'!$B$61)=0,(('Tableau de bord'!$C$63)*$F$13)*SUM($F$79:L79),0)</f>
        <v>0</v>
      </c>
      <c r="M108" s="278">
        <f>IF(MOD(J4,'Tableau de bord'!$B$61)=0,(('Tableau de bord'!$C$63)*$F$13)*SUM($F$79:M79),0)</f>
        <v>0</v>
      </c>
      <c r="N108" s="278">
        <f>IF(MOD(K4,'Tableau de bord'!$B$61)=0,(('Tableau de bord'!$C$63)*$F$13)*SUM($F$79:N79),0)</f>
        <v>0</v>
      </c>
      <c r="O108" s="278">
        <f>IF(MOD(L4,'Tableau de bord'!$B$61)=0,(('Tableau de bord'!$C$63)*$F$13)*SUM($F$79:O79),0)</f>
        <v>0</v>
      </c>
      <c r="P108" s="278">
        <f>IF(MOD(M4,'Tableau de bord'!$B$61)=0,(('Tableau de bord'!$C$63)*$F$13)*SUM($F$79:P79),0)</f>
        <v>0</v>
      </c>
      <c r="Q108" s="278">
        <f>IF(MOD(N4,'Tableau de bord'!$B$61)=0,(('Tableau de bord'!$C$63)*$F$13)*SUM($F$79:Q79),0)</f>
        <v>0</v>
      </c>
      <c r="R108" s="278">
        <f>IF(MOD(O4,'Tableau de bord'!$B$61)=0,(('Tableau de bord'!$C$63)*$F$13)*SUM($F$79:R79),0)</f>
        <v>0</v>
      </c>
      <c r="S108" s="278">
        <f>IF(MOD(P4,'Tableau de bord'!$B$61)=0,(('Tableau de bord'!$C$63)*$F$13)*SUM($F$79:S79),0)</f>
        <v>0</v>
      </c>
      <c r="T108" s="278">
        <f>IF(MOD(Q4,'Tableau de bord'!$B$61)=0,(('Tableau de bord'!$C$63)*$F$13)*SUM($F$79:T79),0)</f>
        <v>0</v>
      </c>
      <c r="U108" s="278">
        <f>IF(MOD(R4,'Tableau de bord'!$B$61)=0,(('Tableau de bord'!$C$63)*$F$13)*SUM($F$79:U79),0)</f>
        <v>0</v>
      </c>
      <c r="V108" s="278">
        <f>IF(MOD(S4,'Tableau de bord'!$B$61)=0,(('Tableau de bord'!$C$63)*$F$13)*SUM($F$79:V79),0)</f>
        <v>0</v>
      </c>
      <c r="W108" s="278">
        <f>IF(MOD(T4,'Tableau de bord'!$B$61)=0,(('Tableau de bord'!$C$63)*$F$13)*SUM($F$79:W79),0)</f>
        <v>0</v>
      </c>
      <c r="X108" s="278">
        <f>IF(MOD(U4,'Tableau de bord'!$B$61)=0,(('Tableau de bord'!$C$63)*$F$13)*SUM($F$79:X79),0)</f>
        <v>0</v>
      </c>
      <c r="Y108" s="278">
        <f>IF(MOD(V4,'Tableau de bord'!$B$61)=0,(('Tableau de bord'!$C$63)*$F$13)*SUM($F$79:Y79),0)</f>
        <v>3200</v>
      </c>
      <c r="Z108" s="278">
        <f>IF(MOD(W4,'Tableau de bord'!$B$61)=0,(('Tableau de bord'!$C$63)*$F$13)*SUM($F$79:Z79),0)</f>
        <v>0</v>
      </c>
      <c r="AA108" s="278">
        <f>IF(MOD(X4,'Tableau de bord'!$B$61)=0,(('Tableau de bord'!$C$63)*$F$13)*SUM($F$79:AA79),0)</f>
        <v>0</v>
      </c>
      <c r="AB108" s="278">
        <f>IF(MOD(Y4,'Tableau de bord'!$B$61)=0,(('Tableau de bord'!$C$63)*$F$13)*SUM($F$79:AB79),0)</f>
        <v>0</v>
      </c>
      <c r="AC108" s="278">
        <f>IF(MOD(Z4,'Tableau de bord'!$B$61)=0,(('Tableau de bord'!$C$63)*$F$13)*SUM($F$79:AC79),0)</f>
        <v>0</v>
      </c>
      <c r="AD108" s="278">
        <f>IF(MOD(AA4,'Tableau de bord'!$B$61)=0,(('Tableau de bord'!$C$63)*$F$13)*SUM($F$79:AD79),0)</f>
        <v>0</v>
      </c>
      <c r="AE108" s="278">
        <f>IF(MOD(AB4,'Tableau de bord'!$B$61)=0,(('Tableau de bord'!$C$63)*$F$13)*SUM($F$79:AE79),0)</f>
        <v>0</v>
      </c>
      <c r="AF108" s="278">
        <f>IF(MOD(AC4,'Tableau de bord'!$B$61)=0,(('Tableau de bord'!$C$63)*$F$13)*SUM($F$79:AF79),0)</f>
        <v>0</v>
      </c>
      <c r="AG108" s="278">
        <f>IF(MOD(AD4,'Tableau de bord'!$B$61)=0,(('Tableau de bord'!$C$63)*$F$13)*SUM($F$79:AG79),0)</f>
        <v>0</v>
      </c>
      <c r="AH108" s="278">
        <f>IF(MOD(AE4,'Tableau de bord'!$B$61)=0,(('Tableau de bord'!$C$63)*$F$13)*SUM($F$79:AH79),0)</f>
        <v>0</v>
      </c>
      <c r="AI108" s="278">
        <f>IF(MOD(AF4,'Tableau de bord'!$B$61)=0,(('Tableau de bord'!$C$63)*$F$13)*SUM($F$79:AI79),0)</f>
        <v>0</v>
      </c>
      <c r="AJ108" s="278">
        <f>IF(MOD(AG4,'Tableau de bord'!$B$61)=0,(('Tableau de bord'!$C$63)*$F$13)*SUM($F$79:AJ79),0)</f>
        <v>0</v>
      </c>
      <c r="AK108" s="278">
        <f>IF(MOD(AH4,'Tableau de bord'!$B$61)=0,(('Tableau de bord'!$C$63)*$F$13)*SUM($F$79:AK79),0)</f>
        <v>0</v>
      </c>
      <c r="AL108" s="278">
        <f>IF(MOD(AI4,'Tableau de bord'!$B$61)=0,(('Tableau de bord'!$C$63)*$F$13)*SUM($F$79:AL79),0)</f>
        <v>0</v>
      </c>
      <c r="AM108" s="278">
        <f>IF(MOD(AJ4,'Tableau de bord'!$B$61)=0,(('Tableau de bord'!$C$63)*$F$13)*SUM($F$79:AM79),0)</f>
        <v>0</v>
      </c>
      <c r="AN108" s="278">
        <f>IF(MOD(AK4,'Tableau de bord'!$B$61)=0,(('Tableau de bord'!$C$63)*$F$13)*SUM($F$79:AN79),0)</f>
        <v>0</v>
      </c>
      <c r="AO108" s="278">
        <f>IF(MOD(AL4,'Tableau de bord'!$B$61)=0,(('Tableau de bord'!$C$63)*$F$13)*SUM($F$79:AO79),0)</f>
        <v>0</v>
      </c>
      <c r="AP108" s="278">
        <f>IF(MOD(AM4,'Tableau de bord'!$B$61)=0,(('Tableau de bord'!$C$63)*$F$13)*SUM($F$79:AP79),0)</f>
        <v>0</v>
      </c>
      <c r="AQ108" s="278">
        <f>IF(MOD(AN4,'Tableau de bord'!$B$61)=0,(('Tableau de bord'!$C$63)*$F$13)*SUM($F$79:AQ79),0)</f>
        <v>0</v>
      </c>
      <c r="AR108" s="278">
        <f>IF(MOD(AO4,'Tableau de bord'!$B$61)=0,(('Tableau de bord'!$C$63)*$F$13)*SUM($F$79:AR79),0)</f>
        <v>0</v>
      </c>
      <c r="AS108" s="278">
        <f>IF(MOD(AP4,'Tableau de bord'!$B$61)=0,(('Tableau de bord'!$C$63)*$F$13)*SUM($F$79:AS79),0)</f>
        <v>3200</v>
      </c>
      <c r="AT108" s="278">
        <f>IF(MOD(AQ4,'Tableau de bord'!$B$61)=0,(('Tableau de bord'!$C$63)*$F$13)*SUM($F$79:AT79),0)</f>
        <v>0</v>
      </c>
      <c r="AU108" s="278">
        <f>IF(MOD(AR4,'Tableau de bord'!$B$61)=0,(('Tableau de bord'!$C$63)*$F$13)*SUM($F$79:AU79),0)</f>
        <v>0</v>
      </c>
      <c r="AV108" s="278">
        <f>IF(MOD(AS4,'Tableau de bord'!$B$61)=0,(('Tableau de bord'!$C$63)*$F$13)*SUM($F$79:AV79),0)</f>
        <v>0</v>
      </c>
      <c r="AW108" s="278">
        <f>IF(MOD(AT4,'Tableau de bord'!$B$61)=0,(('Tableau de bord'!$C$63)*$F$13)*SUM($F$79:AW79),0)</f>
        <v>0</v>
      </c>
      <c r="AX108" s="278">
        <f>IF(MOD(AU4,'Tableau de bord'!$B$61)=0,(('Tableau de bord'!$C$63)*$F$13)*SUM($F$79:AX79),0)</f>
        <v>0</v>
      </c>
      <c r="AY108" s="278">
        <f>IF(MOD(AV4,'Tableau de bord'!$B$61)=0,(('Tableau de bord'!$C$63)*$F$13)*SUM($F$79:AY79),0)</f>
        <v>0</v>
      </c>
      <c r="AZ108" s="593">
        <f>IF(MOD(AW4,'Tableau de bord'!$B$61)=0,(('Tableau de bord'!$C$63)*$F$13)*SUM($F$79:AZ79),0)</f>
        <v>0</v>
      </c>
    </row>
    <row r="109" spans="1:52" hidden="1" outlineLevel="1">
      <c r="A109" s="67" t="s">
        <v>155</v>
      </c>
      <c r="C109" s="360"/>
      <c r="D109" s="364"/>
      <c r="E109" s="364"/>
      <c r="F109" s="364"/>
      <c r="G109" s="278">
        <f>IF(MOD(C4,'Tableau de bord'!$B$61)=0,(('Tableau de bord'!$C$63)*$G$13)*SUM($G$80:G80),0)</f>
        <v>0</v>
      </c>
      <c r="H109" s="278">
        <f>IF(MOD(D4,'Tableau de bord'!$B$61)=0,(('Tableau de bord'!$C$63)*$G$13)*SUM($G$80:H80),0)</f>
        <v>0</v>
      </c>
      <c r="I109" s="278">
        <f>IF(MOD(E4,'Tableau de bord'!$B$61)=0,(('Tableau de bord'!$C$63)*$G$13)*SUM($G$80:I80),0)</f>
        <v>0</v>
      </c>
      <c r="J109" s="278">
        <f>IF(MOD(F4,'Tableau de bord'!$B$61)=0,(('Tableau de bord'!$C$63)*$G$13)*SUM($G$80:J80),0)</f>
        <v>0</v>
      </c>
      <c r="K109" s="278">
        <f>IF(MOD(G4,'Tableau de bord'!$B$61)=0,(('Tableau de bord'!$C$63)*$G$13)*SUM($G$80:K80),0)</f>
        <v>0</v>
      </c>
      <c r="L109" s="278">
        <f>IF(MOD(H4,'Tableau de bord'!$B$61)=0,(('Tableau de bord'!$C$63)*$G$13)*SUM($G$80:L80),0)</f>
        <v>0</v>
      </c>
      <c r="M109" s="278">
        <f>IF(MOD(I4,'Tableau de bord'!$B$61)=0,(('Tableau de bord'!$C$63)*$G$13)*SUM($G$80:M80),0)</f>
        <v>0</v>
      </c>
      <c r="N109" s="278">
        <f>IF(MOD(J4,'Tableau de bord'!$B$61)=0,(('Tableau de bord'!$C$63)*$G$13)*SUM($G$80:N80),0)</f>
        <v>0</v>
      </c>
      <c r="O109" s="278">
        <f>IF(MOD(K4,'Tableau de bord'!$B$61)=0,(('Tableau de bord'!$C$63)*$G$13)*SUM($G$80:O80),0)</f>
        <v>0</v>
      </c>
      <c r="P109" s="278">
        <f>IF(MOD(L4,'Tableau de bord'!$B$61)=0,(('Tableau de bord'!$C$63)*$G$13)*SUM($G$80:P80),0)</f>
        <v>0</v>
      </c>
      <c r="Q109" s="278">
        <f>IF(MOD(M4,'Tableau de bord'!$B$61)=0,(('Tableau de bord'!$C$63)*$G$13)*SUM($G$80:Q80),0)</f>
        <v>0</v>
      </c>
      <c r="R109" s="278">
        <f>IF(MOD(N4,'Tableau de bord'!$B$61)=0,(('Tableau de bord'!$C$63)*$G$13)*SUM($G$80:R80),0)</f>
        <v>0</v>
      </c>
      <c r="S109" s="278">
        <f>IF(MOD(O4,'Tableau de bord'!$B$61)=0,(('Tableau de bord'!$C$63)*$G$13)*SUM($G$80:S80),0)</f>
        <v>0</v>
      </c>
      <c r="T109" s="278">
        <f>IF(MOD(P4,'Tableau de bord'!$B$61)=0,(('Tableau de bord'!$C$63)*$G$13)*SUM($G$80:T80),0)</f>
        <v>0</v>
      </c>
      <c r="U109" s="278">
        <f>IF(MOD(Q4,'Tableau de bord'!$B$61)=0,(('Tableau de bord'!$C$63)*$G$13)*SUM($G$80:U80),0)</f>
        <v>0</v>
      </c>
      <c r="V109" s="278">
        <f>IF(MOD(R4,'Tableau de bord'!$B$61)=0,(('Tableau de bord'!$C$63)*$G$13)*SUM($G$80:V80),0)</f>
        <v>0</v>
      </c>
      <c r="W109" s="278">
        <f>IF(MOD(S4,'Tableau de bord'!$B$61)=0,(('Tableau de bord'!$C$63)*$G$13)*SUM($G$80:W80),0)</f>
        <v>0</v>
      </c>
      <c r="X109" s="278">
        <f>IF(MOD(T4,'Tableau de bord'!$B$61)=0,(('Tableau de bord'!$C$63)*$G$13)*SUM($G$80:X80),0)</f>
        <v>0</v>
      </c>
      <c r="Y109" s="278">
        <f>IF(MOD(U4,'Tableau de bord'!$B$61)=0,(('Tableau de bord'!$C$63)*$G$13)*SUM($G$80:Y80),0)</f>
        <v>0</v>
      </c>
      <c r="Z109" s="278">
        <f>IF(MOD(V4,'Tableau de bord'!$B$61)=0,(('Tableau de bord'!$C$63)*$G$13)*SUM($G$80:Z80),0)</f>
        <v>3000</v>
      </c>
      <c r="AA109" s="278">
        <f>IF(MOD(W4,'Tableau de bord'!$B$61)=0,(('Tableau de bord'!$C$63)*$G$13)*SUM($G$80:AA80),0)</f>
        <v>0</v>
      </c>
      <c r="AB109" s="278">
        <f>IF(MOD(X4,'Tableau de bord'!$B$61)=0,(('Tableau de bord'!$C$63)*$G$13)*SUM($G$80:AB80),0)</f>
        <v>0</v>
      </c>
      <c r="AC109" s="278">
        <f>IF(MOD(Y4,'Tableau de bord'!$B$61)=0,(('Tableau de bord'!$C$63)*$G$13)*SUM($G$80:AC80),0)</f>
        <v>0</v>
      </c>
      <c r="AD109" s="278">
        <f>IF(MOD(Z4,'Tableau de bord'!$B$61)=0,(('Tableau de bord'!$C$63)*$G$13)*SUM($G$80:AD80),0)</f>
        <v>0</v>
      </c>
      <c r="AE109" s="278">
        <f>IF(MOD(AA4,'Tableau de bord'!$B$61)=0,(('Tableau de bord'!$C$63)*$G$13)*SUM($G$80:AE80),0)</f>
        <v>0</v>
      </c>
      <c r="AF109" s="278">
        <f>IF(MOD(AB4,'Tableau de bord'!$B$61)=0,(('Tableau de bord'!$C$63)*$G$13)*SUM($G$80:AF80),0)</f>
        <v>0</v>
      </c>
      <c r="AG109" s="278">
        <f>IF(MOD(AC4,'Tableau de bord'!$B$61)=0,(('Tableau de bord'!$C$63)*$G$13)*SUM($G$80:AG80),0)</f>
        <v>0</v>
      </c>
      <c r="AH109" s="278">
        <f>IF(MOD(AD4,'Tableau de bord'!$B$61)=0,(('Tableau de bord'!$C$63)*$G$13)*SUM($G$80:AH80),0)</f>
        <v>0</v>
      </c>
      <c r="AI109" s="278">
        <f>IF(MOD(AE4,'Tableau de bord'!$B$61)=0,(('Tableau de bord'!$C$63)*$G$13)*SUM($G$80:AI80),0)</f>
        <v>0</v>
      </c>
      <c r="AJ109" s="278">
        <f>IF(MOD(AF4,'Tableau de bord'!$B$61)=0,(('Tableau de bord'!$C$63)*$G$13)*SUM($G$80:AJ80),0)</f>
        <v>0</v>
      </c>
      <c r="AK109" s="278">
        <f>IF(MOD(AG4,'Tableau de bord'!$B$61)=0,(('Tableau de bord'!$C$63)*$G$13)*SUM($G$80:AK80),0)</f>
        <v>0</v>
      </c>
      <c r="AL109" s="278">
        <f>IF(MOD(AH4,'Tableau de bord'!$B$61)=0,(('Tableau de bord'!$C$63)*$G$13)*SUM($G$80:AL80),0)</f>
        <v>0</v>
      </c>
      <c r="AM109" s="278">
        <f>IF(MOD(AI4,'Tableau de bord'!$B$61)=0,(('Tableau de bord'!$C$63)*$G$13)*SUM($G$80:AM80),0)</f>
        <v>0</v>
      </c>
      <c r="AN109" s="278">
        <f>IF(MOD(AJ4,'Tableau de bord'!$B$61)=0,(('Tableau de bord'!$C$63)*$G$13)*SUM($G$80:AN80),0)</f>
        <v>0</v>
      </c>
      <c r="AO109" s="278">
        <f>IF(MOD(AK4,'Tableau de bord'!$B$61)=0,(('Tableau de bord'!$C$63)*$G$13)*SUM($G$80:AO80),0)</f>
        <v>0</v>
      </c>
      <c r="AP109" s="278">
        <f>IF(MOD(AL4,'Tableau de bord'!$B$61)=0,(('Tableau de bord'!$C$63)*$G$13)*SUM($G$80:AP80),0)</f>
        <v>0</v>
      </c>
      <c r="AQ109" s="278">
        <f>IF(MOD(AM4,'Tableau de bord'!$B$61)=0,(('Tableau de bord'!$C$63)*$G$13)*SUM($G$80:AQ80),0)</f>
        <v>0</v>
      </c>
      <c r="AR109" s="278">
        <f>IF(MOD(AN4,'Tableau de bord'!$B$61)=0,(('Tableau de bord'!$C$63)*$G$13)*SUM($G$80:AR80),0)</f>
        <v>0</v>
      </c>
      <c r="AS109" s="278">
        <f>IF(MOD(AO4,'Tableau de bord'!$B$61)=0,(('Tableau de bord'!$C$63)*$G$13)*SUM($G$80:AS80),0)</f>
        <v>0</v>
      </c>
      <c r="AT109" s="278">
        <f>IF(MOD(AP4,'Tableau de bord'!$B$61)=0,(('Tableau de bord'!$C$63)*$G$13)*SUM($G$80:AT80),0)</f>
        <v>3000</v>
      </c>
      <c r="AU109" s="278">
        <f>IF(MOD(AQ4,'Tableau de bord'!$B$61)=0,(('Tableau de bord'!$C$63)*$G$13)*SUM($G$80:AU80),0)</f>
        <v>0</v>
      </c>
      <c r="AV109" s="278">
        <f>IF(MOD(AR4,'Tableau de bord'!$B$61)=0,(('Tableau de bord'!$C$63)*$G$13)*SUM($G$80:AV80),0)</f>
        <v>0</v>
      </c>
      <c r="AW109" s="278">
        <f>IF(MOD(AS4,'Tableau de bord'!$B$61)=0,(('Tableau de bord'!$C$63)*$G$13)*SUM($G$80:AW80),0)</f>
        <v>0</v>
      </c>
      <c r="AX109" s="278">
        <f>IF(MOD(AT4,'Tableau de bord'!$B$61)=0,(('Tableau de bord'!$C$63)*$G$13)*SUM($G$80:AX80),0)</f>
        <v>0</v>
      </c>
      <c r="AY109" s="278">
        <f>IF(MOD(AU4,'Tableau de bord'!$B$61)=0,(('Tableau de bord'!$C$63)*$G$13)*SUM($G$80:AY80),0)</f>
        <v>0</v>
      </c>
      <c r="AZ109" s="593">
        <f>IF(MOD(AV4,'Tableau de bord'!$B$61)=0,(('Tableau de bord'!$C$63)*$G$13)*SUM($G$80:AZ80),0)</f>
        <v>0</v>
      </c>
    </row>
    <row r="110" spans="1:52" hidden="1" outlineLevel="1">
      <c r="A110" s="67" t="s">
        <v>156</v>
      </c>
      <c r="C110" s="360"/>
      <c r="D110" s="364"/>
      <c r="E110" s="364"/>
      <c r="F110" s="364"/>
      <c r="G110" s="364"/>
      <c r="H110" s="278">
        <f>IF(MOD(C4,'Tableau de bord'!$B$61)=0,(('Tableau de bord'!$C$63)*$H$13)*SUM($H$81:H81),0)</f>
        <v>0</v>
      </c>
      <c r="I110" s="278">
        <f>IF(MOD(D4,'Tableau de bord'!$B$61)=0,(('Tableau de bord'!$C$63)*$H$13)*SUM($H$81:I81),0)</f>
        <v>0</v>
      </c>
      <c r="J110" s="278">
        <f>IF(MOD(E4,'Tableau de bord'!$B$61)=0,(('Tableau de bord'!$C$63)*$H$13)*SUM($H$81:J81),0)</f>
        <v>0</v>
      </c>
      <c r="K110" s="278">
        <f>IF(MOD(F4,'Tableau de bord'!$B$61)=0,(('Tableau de bord'!$C$63)*$H$13)*SUM($H$81:K81),0)</f>
        <v>0</v>
      </c>
      <c r="L110" s="278">
        <f>IF(MOD(G4,'Tableau de bord'!$B$61)=0,(('Tableau de bord'!$C$63)*$H$13)*SUM($H$81:L81),0)</f>
        <v>0</v>
      </c>
      <c r="M110" s="278">
        <f>IF(MOD(H4,'Tableau de bord'!$B$61)=0,(('Tableau de bord'!$C$63)*$H$13)*SUM($H$81:M81),0)</f>
        <v>0</v>
      </c>
      <c r="N110" s="278">
        <f>IF(MOD(I4,'Tableau de bord'!$B$61)=0,(('Tableau de bord'!$C$63)*$H$13)*SUM($H$81:N81),0)</f>
        <v>0</v>
      </c>
      <c r="O110" s="278">
        <f>IF(MOD(J4,'Tableau de bord'!$B$61)=0,(('Tableau de bord'!$C$63)*$H$13)*SUM($H$81:O81),0)</f>
        <v>0</v>
      </c>
      <c r="P110" s="278">
        <f>IF(MOD(K4,'Tableau de bord'!$B$61)=0,(('Tableau de bord'!$C$63)*$H$13)*SUM($H$81:P81),0)</f>
        <v>0</v>
      </c>
      <c r="Q110" s="278">
        <f>IF(MOD(L4,'Tableau de bord'!$B$61)=0,(('Tableau de bord'!$C$63)*$H$13)*SUM($H$81:Q81),0)</f>
        <v>0</v>
      </c>
      <c r="R110" s="278">
        <f>IF(MOD(M4,'Tableau de bord'!$B$61)=0,(('Tableau de bord'!$C$63)*$H$13)*SUM($H$81:R81),0)</f>
        <v>0</v>
      </c>
      <c r="S110" s="278">
        <f>IF(MOD(N4,'Tableau de bord'!$B$61)=0,(('Tableau de bord'!$C$63)*$H$13)*SUM($H$81:S81),0)</f>
        <v>0</v>
      </c>
      <c r="T110" s="278">
        <f>IF(MOD(O4,'Tableau de bord'!$B$61)=0,(('Tableau de bord'!$C$63)*$H$13)*SUM($H$81:T81),0)</f>
        <v>0</v>
      </c>
      <c r="U110" s="278">
        <f>IF(MOD(P4,'Tableau de bord'!$B$61)=0,(('Tableau de bord'!$C$63)*$H$13)*SUM($H$81:U81),0)</f>
        <v>0</v>
      </c>
      <c r="V110" s="278">
        <f>IF(MOD(Q4,'Tableau de bord'!$B$61)=0,(('Tableau de bord'!$C$63)*$H$13)*SUM($H$81:V81),0)</f>
        <v>0</v>
      </c>
      <c r="W110" s="278">
        <f>IF(MOD(R4,'Tableau de bord'!$B$61)=0,(('Tableau de bord'!$C$63)*$H$13)*SUM($H$81:W81),0)</f>
        <v>0</v>
      </c>
      <c r="X110" s="278">
        <f>IF(MOD(S4,'Tableau de bord'!$B$61)=0,(('Tableau de bord'!$C$63)*$H$13)*SUM($H$81:X81),0)</f>
        <v>0</v>
      </c>
      <c r="Y110" s="278">
        <f>IF(MOD(T4,'Tableau de bord'!$B$61)=0,(('Tableau de bord'!$C$63)*$H$13)*SUM($H$81:Y81),0)</f>
        <v>0</v>
      </c>
      <c r="Z110" s="278">
        <f>IF(MOD(U4,'Tableau de bord'!$B$61)=0,(('Tableau de bord'!$C$63)*$H$13)*SUM($H$81:Z81),0)</f>
        <v>0</v>
      </c>
      <c r="AA110" s="278">
        <f>IF(MOD(V4,'Tableau de bord'!$B$61)=0,(('Tableau de bord'!$C$63)*$H$13)*SUM($H$81:AA81),0)</f>
        <v>2600</v>
      </c>
      <c r="AB110" s="278">
        <f>IF(MOD(W4,'Tableau de bord'!$B$61)=0,(('Tableau de bord'!$C$63)*$H$13)*SUM($H$81:AB81),0)</f>
        <v>0</v>
      </c>
      <c r="AC110" s="278">
        <f>IF(MOD(X4,'Tableau de bord'!$B$61)=0,(('Tableau de bord'!$C$63)*$H$13)*SUM($H$81:AC81),0)</f>
        <v>0</v>
      </c>
      <c r="AD110" s="278">
        <f>IF(MOD(Y4,'Tableau de bord'!$B$61)=0,(('Tableau de bord'!$C$63)*$H$13)*SUM($H$81:AD81),0)</f>
        <v>0</v>
      </c>
      <c r="AE110" s="278">
        <f>IF(MOD(Z4,'Tableau de bord'!$B$61)=0,(('Tableau de bord'!$C$63)*$H$13)*SUM($H$81:AE81),0)</f>
        <v>0</v>
      </c>
      <c r="AF110" s="278">
        <f>IF(MOD(AA4,'Tableau de bord'!$B$61)=0,(('Tableau de bord'!$C$63)*$H$13)*SUM($H$81:AF81),0)</f>
        <v>0</v>
      </c>
      <c r="AG110" s="278">
        <f>IF(MOD(AB4,'Tableau de bord'!$B$61)=0,(('Tableau de bord'!$C$63)*$H$13)*SUM($H$81:AG81),0)</f>
        <v>0</v>
      </c>
      <c r="AH110" s="278">
        <f>IF(MOD(AC4,'Tableau de bord'!$B$61)=0,(('Tableau de bord'!$C$63)*$H$13)*SUM($H$81:AH81),0)</f>
        <v>0</v>
      </c>
      <c r="AI110" s="278">
        <f>IF(MOD(AD4,'Tableau de bord'!$B$61)=0,(('Tableau de bord'!$C$63)*$H$13)*SUM($H$81:AI81),0)</f>
        <v>0</v>
      </c>
      <c r="AJ110" s="278">
        <f>IF(MOD(AE4,'Tableau de bord'!$B$61)=0,(('Tableau de bord'!$C$63)*$H$13)*SUM($H$81:AJ81),0)</f>
        <v>0</v>
      </c>
      <c r="AK110" s="278">
        <f>IF(MOD(AF4,'Tableau de bord'!$B$61)=0,(('Tableau de bord'!$C$63)*$H$13)*SUM($H$81:AK81),0)</f>
        <v>0</v>
      </c>
      <c r="AL110" s="278">
        <f>IF(MOD(AG4,'Tableau de bord'!$B$61)=0,(('Tableau de bord'!$C$63)*$H$13)*SUM($H$81:AL81),0)</f>
        <v>0</v>
      </c>
      <c r="AM110" s="278">
        <f>IF(MOD(AH4,'Tableau de bord'!$B$61)=0,(('Tableau de bord'!$C$63)*$H$13)*SUM($H$81:AM81),0)</f>
        <v>0</v>
      </c>
      <c r="AN110" s="278">
        <f>IF(MOD(AI4,'Tableau de bord'!$B$61)=0,(('Tableau de bord'!$C$63)*$H$13)*SUM($H$81:AN81),0)</f>
        <v>0</v>
      </c>
      <c r="AO110" s="278">
        <f>IF(MOD(AJ4,'Tableau de bord'!$B$61)=0,(('Tableau de bord'!$C$63)*$H$13)*SUM($H$81:AO81),0)</f>
        <v>0</v>
      </c>
      <c r="AP110" s="278">
        <f>IF(MOD(AK4,'Tableau de bord'!$B$61)=0,(('Tableau de bord'!$C$63)*$H$13)*SUM($H$81:AP81),0)</f>
        <v>0</v>
      </c>
      <c r="AQ110" s="278">
        <f>IF(MOD(AL4,'Tableau de bord'!$B$61)=0,(('Tableau de bord'!$C$63)*$H$13)*SUM($H$81:AQ81),0)</f>
        <v>0</v>
      </c>
      <c r="AR110" s="278">
        <f>IF(MOD(AM4,'Tableau de bord'!$B$61)=0,(('Tableau de bord'!$C$63)*$H$13)*SUM($H$81:AR81),0)</f>
        <v>0</v>
      </c>
      <c r="AS110" s="278">
        <f>IF(MOD(AN4,'Tableau de bord'!$B$61)=0,(('Tableau de bord'!$C$63)*$H$13)*SUM($H$81:AS81),0)</f>
        <v>0</v>
      </c>
      <c r="AT110" s="278">
        <f>IF(MOD(AO4,'Tableau de bord'!$B$61)=0,(('Tableau de bord'!$C$63)*$H$13)*SUM($H$81:AT81),0)</f>
        <v>0</v>
      </c>
      <c r="AU110" s="278">
        <f>IF(MOD(AP4,'Tableau de bord'!$B$61)=0,(('Tableau de bord'!$C$63)*$H$13)*SUM($H$81:AU81),0)</f>
        <v>2600</v>
      </c>
      <c r="AV110" s="278">
        <f>IF(MOD(AQ4,'Tableau de bord'!$B$61)=0,(('Tableau de bord'!$C$63)*$H$13)*SUM($H$81:AV81),0)</f>
        <v>0</v>
      </c>
      <c r="AW110" s="278">
        <f>IF(MOD(AR4,'Tableau de bord'!$B$61)=0,(('Tableau de bord'!$C$63)*$H$13)*SUM($H$81:AW81),0)</f>
        <v>0</v>
      </c>
      <c r="AX110" s="278">
        <f>IF(MOD(AS4,'Tableau de bord'!$B$61)=0,(('Tableau de bord'!$C$63)*$H$13)*SUM($H$81:AX81),0)</f>
        <v>0</v>
      </c>
      <c r="AY110" s="278">
        <f>IF(MOD(AT4,'Tableau de bord'!$B$61)=0,(('Tableau de bord'!$C$63)*$H$13)*SUM($H$81:AY81),0)</f>
        <v>0</v>
      </c>
      <c r="AZ110" s="593">
        <f>IF(MOD(AU4,'Tableau de bord'!$B$61)=0,(('Tableau de bord'!$C$63)*$H$13)*SUM($H$81:AZ81),0)</f>
        <v>0</v>
      </c>
    </row>
    <row r="111" spans="1:52" hidden="1" outlineLevel="1">
      <c r="A111" s="67" t="s">
        <v>157</v>
      </c>
      <c r="C111" s="360"/>
      <c r="D111" s="364"/>
      <c r="E111" s="364"/>
      <c r="F111" s="364"/>
      <c r="G111" s="364"/>
      <c r="H111" s="364"/>
      <c r="I111" s="278">
        <f>IF(MOD(C4,'Tableau de bord'!$B$61)=0,(('Tableau de bord'!$C$63)*$I$13)*SUM($I$82:I82),0)</f>
        <v>0</v>
      </c>
      <c r="J111" s="278">
        <f>IF(MOD(D4,'Tableau de bord'!$B$61)=0,(('Tableau de bord'!$C$63)*$I$13)*SUM($I$82:J82),0)</f>
        <v>0</v>
      </c>
      <c r="K111" s="278">
        <f>IF(MOD(E4,'Tableau de bord'!$B$61)=0,(('Tableau de bord'!$C$63)*$I$13)*SUM($I$82:K82),0)</f>
        <v>0</v>
      </c>
      <c r="L111" s="278">
        <f>IF(MOD(F4,'Tableau de bord'!$B$61)=0,(('Tableau de bord'!$C$63)*$I$13)*SUM($I$82:L82),0)</f>
        <v>0</v>
      </c>
      <c r="M111" s="278">
        <f>IF(MOD(G4,'Tableau de bord'!$B$61)=0,(('Tableau de bord'!$C$63)*$I$13)*SUM($I$82:M82),0)</f>
        <v>0</v>
      </c>
      <c r="N111" s="278">
        <f>IF(MOD(H4,'Tableau de bord'!$B$61)=0,(('Tableau de bord'!$C$63)*$I$13)*SUM($I$82:N82),0)</f>
        <v>0</v>
      </c>
      <c r="O111" s="278">
        <f>IF(MOD(I4,'Tableau de bord'!$B$61)=0,(('Tableau de bord'!$C$63)*$I$13)*SUM($I$82:O82),0)</f>
        <v>0</v>
      </c>
      <c r="P111" s="278">
        <f>IF(MOD(J4,'Tableau de bord'!$B$61)=0,(('Tableau de bord'!$C$63)*$I$13)*SUM($I$82:P82),0)</f>
        <v>0</v>
      </c>
      <c r="Q111" s="278">
        <f>IF(MOD(K4,'Tableau de bord'!$B$61)=0,(('Tableau de bord'!$C$63)*$I$13)*SUM($I$82:Q82),0)</f>
        <v>0</v>
      </c>
      <c r="R111" s="278">
        <f>IF(MOD(L4,'Tableau de bord'!$B$61)=0,(('Tableau de bord'!$C$63)*$I$13)*SUM($I$82:R82),0)</f>
        <v>0</v>
      </c>
      <c r="S111" s="278">
        <f>IF(MOD(M4,'Tableau de bord'!$B$61)=0,(('Tableau de bord'!$C$63)*$I$13)*SUM($I$82:S82),0)</f>
        <v>0</v>
      </c>
      <c r="T111" s="278">
        <f>IF(MOD(N4,'Tableau de bord'!$B$61)=0,(('Tableau de bord'!$C$63)*$I$13)*SUM($I$82:T82),0)</f>
        <v>0</v>
      </c>
      <c r="U111" s="278">
        <f>IF(MOD(O4,'Tableau de bord'!$B$61)=0,(('Tableau de bord'!$C$63)*$I$13)*SUM($I$82:U82),0)</f>
        <v>0</v>
      </c>
      <c r="V111" s="278">
        <f>IF(MOD(P4,'Tableau de bord'!$B$61)=0,(('Tableau de bord'!$C$63)*$I$13)*SUM($I$82:V82),0)</f>
        <v>0</v>
      </c>
      <c r="W111" s="278">
        <f>IF(MOD(Q4,'Tableau de bord'!$B$61)=0,(('Tableau de bord'!$C$63)*$I$13)*SUM($I$82:W82),0)</f>
        <v>0</v>
      </c>
      <c r="X111" s="278">
        <f>IF(MOD(R4,'Tableau de bord'!$B$61)=0,(('Tableau de bord'!$C$63)*$I$13)*SUM($I$82:X82),0)</f>
        <v>0</v>
      </c>
      <c r="Y111" s="278">
        <f>IF(MOD(S4,'Tableau de bord'!$B$61)=0,(('Tableau de bord'!$C$63)*$I$13)*SUM($I$82:Y82),0)</f>
        <v>0</v>
      </c>
      <c r="Z111" s="278">
        <f>IF(MOD(T4,'Tableau de bord'!$B$61)=0,(('Tableau de bord'!$C$63)*$I$13)*SUM($I$82:Z82),0)</f>
        <v>0</v>
      </c>
      <c r="AA111" s="278">
        <f>IF(MOD(U4,'Tableau de bord'!$B$61)=0,(('Tableau de bord'!$C$63)*$I$13)*SUM($I$82:AA82),0)</f>
        <v>0</v>
      </c>
      <c r="AB111" s="278">
        <f>IF(MOD(V4,'Tableau de bord'!$B$61)=0,(('Tableau de bord'!$C$63)*$I$13)*SUM($I$82:AB82),0)</f>
        <v>1800</v>
      </c>
      <c r="AC111" s="278">
        <f>IF(MOD(W4,'Tableau de bord'!$B$61)=0,(('Tableau de bord'!$C$63)*$I$13)*SUM($I$82:AC82),0)</f>
        <v>0</v>
      </c>
      <c r="AD111" s="278">
        <f>IF(MOD(X4,'Tableau de bord'!$B$61)=0,(('Tableau de bord'!$C$63)*$I$13)*SUM($I$82:AD82),0)</f>
        <v>0</v>
      </c>
      <c r="AE111" s="278">
        <f>IF(MOD(Y4,'Tableau de bord'!$B$61)=0,(('Tableau de bord'!$C$63)*$I$13)*SUM($I$82:AE82),0)</f>
        <v>0</v>
      </c>
      <c r="AF111" s="278">
        <f>IF(MOD(Z4,'Tableau de bord'!$B$61)=0,(('Tableau de bord'!$C$63)*$I$13)*SUM($I$82:AF82),0)</f>
        <v>0</v>
      </c>
      <c r="AG111" s="278">
        <f>IF(MOD(AA4,'Tableau de bord'!$B$61)=0,(('Tableau de bord'!$C$63)*$I$13)*SUM($I$82:AG82),0)</f>
        <v>0</v>
      </c>
      <c r="AH111" s="278">
        <f>IF(MOD(AB4,'Tableau de bord'!$B$61)=0,(('Tableau de bord'!$C$63)*$I$13)*SUM($I$82:AH82),0)</f>
        <v>0</v>
      </c>
      <c r="AI111" s="278">
        <f>IF(MOD(AC4,'Tableau de bord'!$B$61)=0,(('Tableau de bord'!$C$63)*$I$13)*SUM($I$82:AI82),0)</f>
        <v>0</v>
      </c>
      <c r="AJ111" s="278">
        <f>IF(MOD(AD4,'Tableau de bord'!$B$61)=0,(('Tableau de bord'!$C$63)*$I$13)*SUM($I$82:AJ82),0)</f>
        <v>0</v>
      </c>
      <c r="AK111" s="278">
        <f>IF(MOD(AE4,'Tableau de bord'!$B$61)=0,(('Tableau de bord'!$C$63)*$I$13)*SUM($I$82:AK82),0)</f>
        <v>0</v>
      </c>
      <c r="AL111" s="278">
        <f>IF(MOD(AF4,'Tableau de bord'!$B$61)=0,(('Tableau de bord'!$C$63)*$I$13)*SUM($I$82:AL82),0)</f>
        <v>0</v>
      </c>
      <c r="AM111" s="278">
        <f>IF(MOD(AG4,'Tableau de bord'!$B$61)=0,(('Tableau de bord'!$C$63)*$I$13)*SUM($I$82:AM82),0)</f>
        <v>0</v>
      </c>
      <c r="AN111" s="278">
        <f>IF(MOD(AH4,'Tableau de bord'!$B$61)=0,(('Tableau de bord'!$C$63)*$I$13)*SUM($I$82:AN82),0)</f>
        <v>0</v>
      </c>
      <c r="AO111" s="278">
        <f>IF(MOD(AI4,'Tableau de bord'!$B$61)=0,(('Tableau de bord'!$C$63)*$I$13)*SUM($I$82:AO82),0)</f>
        <v>0</v>
      </c>
      <c r="AP111" s="278">
        <f>IF(MOD(AJ4,'Tableau de bord'!$B$61)=0,(('Tableau de bord'!$C$63)*$I$13)*SUM($I$82:AP82),0)</f>
        <v>0</v>
      </c>
      <c r="AQ111" s="278">
        <f>IF(MOD(AK4,'Tableau de bord'!$B$61)=0,(('Tableau de bord'!$C$63)*$I$13)*SUM($I$82:AQ82),0)</f>
        <v>0</v>
      </c>
      <c r="AR111" s="278">
        <f>IF(MOD(AL4,'Tableau de bord'!$B$61)=0,(('Tableau de bord'!$C$63)*$I$13)*SUM($I$82:AR82),0)</f>
        <v>0</v>
      </c>
      <c r="AS111" s="278">
        <f>IF(MOD(AM4,'Tableau de bord'!$B$61)=0,(('Tableau de bord'!$C$63)*$I$13)*SUM($I$82:AS82),0)</f>
        <v>0</v>
      </c>
      <c r="AT111" s="278">
        <f>IF(MOD(AN4,'Tableau de bord'!$B$61)=0,(('Tableau de bord'!$C$63)*$I$13)*SUM($I$82:AT82),0)</f>
        <v>0</v>
      </c>
      <c r="AU111" s="278">
        <f>IF(MOD(AO4,'Tableau de bord'!$B$61)=0,(('Tableau de bord'!$C$63)*$I$13)*SUM($I$82:AU82),0)</f>
        <v>0</v>
      </c>
      <c r="AV111" s="278">
        <f>IF(MOD(AP4,'Tableau de bord'!$B$61)=0,(('Tableau de bord'!$C$63)*$I$13)*SUM($I$82:AV82),0)</f>
        <v>1800</v>
      </c>
      <c r="AW111" s="278">
        <f>IF(MOD(AQ4,'Tableau de bord'!$B$61)=0,(('Tableau de bord'!$C$63)*$I$13)*SUM($I$82:AW82),0)</f>
        <v>0</v>
      </c>
      <c r="AX111" s="278">
        <f>IF(MOD(AR4,'Tableau de bord'!$B$61)=0,(('Tableau de bord'!$C$63)*$I$13)*SUM($I$82:AX82),0)</f>
        <v>0</v>
      </c>
      <c r="AY111" s="278">
        <f>IF(MOD(AS4,'Tableau de bord'!$B$61)=0,(('Tableau de bord'!$C$63)*$I$13)*SUM($I$82:AY82),0)</f>
        <v>0</v>
      </c>
      <c r="AZ111" s="593">
        <f>IF(MOD(AT4,'Tableau de bord'!$B$61)=0,(('Tableau de bord'!$C$63)*$I$13)*SUM($I$82:AZ82),0)</f>
        <v>0</v>
      </c>
    </row>
    <row r="112" spans="1:52" hidden="1" outlineLevel="1">
      <c r="A112" s="67" t="s">
        <v>158</v>
      </c>
      <c r="C112" s="360"/>
      <c r="D112" s="364"/>
      <c r="E112" s="364"/>
      <c r="F112" s="364"/>
      <c r="G112" s="364"/>
      <c r="H112" s="364"/>
      <c r="I112" s="364"/>
      <c r="J112" s="278">
        <f>IF(MOD(C4,'Tableau de bord'!$B$61)=0,(('Tableau de bord'!$C$63)*$J$13)*SUM($J$83:J83),0)</f>
        <v>0</v>
      </c>
      <c r="K112" s="278">
        <f>IF(MOD(D4,'Tableau de bord'!$B$61)=0,(('Tableau de bord'!$C$63)*$J$13)*SUM($J$83:K83),0)</f>
        <v>0</v>
      </c>
      <c r="L112" s="278">
        <f>IF(MOD(E4,'Tableau de bord'!$B$61)=0,(('Tableau de bord'!$C$63)*$J$13)*SUM($J$83:L83),0)</f>
        <v>0</v>
      </c>
      <c r="M112" s="278">
        <f>IF(MOD(F4,'Tableau de bord'!$B$61)=0,(('Tableau de bord'!$C$63)*$J$13)*SUM($J$83:M83),0)</f>
        <v>0</v>
      </c>
      <c r="N112" s="278">
        <f>IF(MOD(G4,'Tableau de bord'!$B$61)=0,(('Tableau de bord'!$C$63)*$J$13)*SUM($J$83:N83),0)</f>
        <v>0</v>
      </c>
      <c r="O112" s="278">
        <f>IF(MOD(H4,'Tableau de bord'!$B$61)=0,(('Tableau de bord'!$C$63)*$J$13)*SUM($J$83:O83),0)</f>
        <v>0</v>
      </c>
      <c r="P112" s="278">
        <f>IF(MOD(I4,'Tableau de bord'!$B$61)=0,(('Tableau de bord'!$C$63)*$J$13)*SUM($J$83:P83),0)</f>
        <v>0</v>
      </c>
      <c r="Q112" s="278">
        <f>IF(MOD(J4,'Tableau de bord'!$B$61)=0,(('Tableau de bord'!$C$63)*$J$13)*SUM($J$83:Q83),0)</f>
        <v>0</v>
      </c>
      <c r="R112" s="278">
        <f>IF(MOD(K4,'Tableau de bord'!$B$61)=0,(('Tableau de bord'!$C$63)*$J$13)*SUM($J$83:R83),0)</f>
        <v>0</v>
      </c>
      <c r="S112" s="278">
        <f>IF(MOD(L4,'Tableau de bord'!$B$61)=0,(('Tableau de bord'!$C$63)*$J$13)*SUM($J$83:S83),0)</f>
        <v>0</v>
      </c>
      <c r="T112" s="278">
        <f>IF(MOD(M4,'Tableau de bord'!$B$61)=0,(('Tableau de bord'!$C$63)*$J$13)*SUM($J$83:T83),0)</f>
        <v>0</v>
      </c>
      <c r="U112" s="278">
        <f>IF(MOD(N4,'Tableau de bord'!$B$61)=0,(('Tableau de bord'!$C$63)*$J$13)*SUM($J$83:U83),0)</f>
        <v>0</v>
      </c>
      <c r="V112" s="278">
        <f>IF(MOD(O4,'Tableau de bord'!$B$61)=0,(('Tableau de bord'!$C$63)*$J$13)*SUM($J$83:V83),0)</f>
        <v>0</v>
      </c>
      <c r="W112" s="278">
        <f>IF(MOD(P4,'Tableau de bord'!$B$61)=0,(('Tableau de bord'!$C$63)*$J$13)*SUM($J$83:W83),0)</f>
        <v>0</v>
      </c>
      <c r="X112" s="278">
        <f>IF(MOD(Q4,'Tableau de bord'!$B$61)=0,(('Tableau de bord'!$C$63)*$J$13)*SUM($J$83:X83),0)</f>
        <v>0</v>
      </c>
      <c r="Y112" s="278">
        <f>IF(MOD(R4,'Tableau de bord'!$B$61)=0,(('Tableau de bord'!$C$63)*$J$13)*SUM($J$83:Y83),0)</f>
        <v>0</v>
      </c>
      <c r="Z112" s="278">
        <f>IF(MOD(S4,'Tableau de bord'!$B$61)=0,(('Tableau de bord'!$C$63)*$J$13)*SUM($J$83:Z83),0)</f>
        <v>0</v>
      </c>
      <c r="AA112" s="278">
        <f>IF(MOD(T4,'Tableau de bord'!$B$61)=0,(('Tableau de bord'!$C$63)*$J$13)*SUM($J$83:AA83),0)</f>
        <v>0</v>
      </c>
      <c r="AB112" s="278">
        <f>IF(MOD(U4,'Tableau de bord'!$B$61)=0,(('Tableau de bord'!$C$63)*$J$13)*SUM($J$83:AB83),0)</f>
        <v>0</v>
      </c>
      <c r="AC112" s="278">
        <f>IF(MOD(V4,'Tableau de bord'!$B$61)=0,(('Tableau de bord'!$C$63)*$J$13)*SUM($J$83:AC83),0)</f>
        <v>1600</v>
      </c>
      <c r="AD112" s="278">
        <f>IF(MOD(W4,'Tableau de bord'!$B$61)=0,(('Tableau de bord'!$C$63)*$J$13)*SUM($J$83:AD83),0)</f>
        <v>0</v>
      </c>
      <c r="AE112" s="278">
        <f>IF(MOD(X4,'Tableau de bord'!$B$61)=0,(('Tableau de bord'!$C$63)*$J$13)*SUM($J$83:AE83),0)</f>
        <v>0</v>
      </c>
      <c r="AF112" s="278">
        <f>IF(MOD(Y4,'Tableau de bord'!$B$61)=0,(('Tableau de bord'!$C$63)*$J$13)*SUM($J$83:AF83),0)</f>
        <v>0</v>
      </c>
      <c r="AG112" s="278">
        <f>IF(MOD(Z4,'Tableau de bord'!$B$61)=0,(('Tableau de bord'!$C$63)*$J$13)*SUM($J$83:AG83),0)</f>
        <v>0</v>
      </c>
      <c r="AH112" s="278">
        <f>IF(MOD(AA4,'Tableau de bord'!$B$61)=0,(('Tableau de bord'!$C$63)*$J$13)*SUM($J$83:AH83),0)</f>
        <v>0</v>
      </c>
      <c r="AI112" s="278">
        <f>IF(MOD(AB4,'Tableau de bord'!$B$61)=0,(('Tableau de bord'!$C$63)*$J$13)*SUM($J$83:AI83),0)</f>
        <v>0</v>
      </c>
      <c r="AJ112" s="278">
        <f>IF(MOD(AC4,'Tableau de bord'!$B$61)=0,(('Tableau de bord'!$C$63)*$J$13)*SUM($J$83:AJ83),0)</f>
        <v>0</v>
      </c>
      <c r="AK112" s="278">
        <f>IF(MOD(AD4,'Tableau de bord'!$B$61)=0,(('Tableau de bord'!$C$63)*$J$13)*SUM($J$83:AK83),0)</f>
        <v>0</v>
      </c>
      <c r="AL112" s="278">
        <f>IF(MOD(AE4,'Tableau de bord'!$B$61)=0,(('Tableau de bord'!$C$63)*$J$13)*SUM($J$83:AL83),0)</f>
        <v>0</v>
      </c>
      <c r="AM112" s="278">
        <f>IF(MOD(AF4,'Tableau de bord'!$B$61)=0,(('Tableau de bord'!$C$63)*$J$13)*SUM($J$83:AM83),0)</f>
        <v>0</v>
      </c>
      <c r="AN112" s="278">
        <f>IF(MOD(AG4,'Tableau de bord'!$B$61)=0,(('Tableau de bord'!$C$63)*$J$13)*SUM($J$83:AN83),0)</f>
        <v>0</v>
      </c>
      <c r="AO112" s="278">
        <f>IF(MOD(AH4,'Tableau de bord'!$B$61)=0,(('Tableau de bord'!$C$63)*$J$13)*SUM($J$83:AO83),0)</f>
        <v>0</v>
      </c>
      <c r="AP112" s="278">
        <f>IF(MOD(AI4,'Tableau de bord'!$B$61)=0,(('Tableau de bord'!$C$63)*$J$13)*SUM($J$83:AP83),0)</f>
        <v>0</v>
      </c>
      <c r="AQ112" s="278">
        <f>IF(MOD(AJ4,'Tableau de bord'!$B$61)=0,(('Tableau de bord'!$C$63)*$J$13)*SUM($J$83:AQ83),0)</f>
        <v>0</v>
      </c>
      <c r="AR112" s="278">
        <f>IF(MOD(AK4,'Tableau de bord'!$B$61)=0,(('Tableau de bord'!$C$63)*$J$13)*SUM($J$83:AR83),0)</f>
        <v>0</v>
      </c>
      <c r="AS112" s="278">
        <f>IF(MOD(AL4,'Tableau de bord'!$B$61)=0,(('Tableau de bord'!$C$63)*$J$13)*SUM($J$83:AS83),0)</f>
        <v>0</v>
      </c>
      <c r="AT112" s="278">
        <f>IF(MOD(AM4,'Tableau de bord'!$B$61)=0,(('Tableau de bord'!$C$63)*$J$13)*SUM($J$83:AT83),0)</f>
        <v>0</v>
      </c>
      <c r="AU112" s="278">
        <f>IF(MOD(AN4,'Tableau de bord'!$B$61)=0,(('Tableau de bord'!$C$63)*$J$13)*SUM($J$83:AU83),0)</f>
        <v>0</v>
      </c>
      <c r="AV112" s="278">
        <f>IF(MOD(AO4,'Tableau de bord'!$B$61)=0,(('Tableau de bord'!$C$63)*$J$13)*SUM($J$83:AV83),0)</f>
        <v>0</v>
      </c>
      <c r="AW112" s="278">
        <f>IF(MOD(AP4,'Tableau de bord'!$B$61)=0,(('Tableau de bord'!$C$63)*$J$13)*SUM($J$83:AW83),0)</f>
        <v>1600</v>
      </c>
      <c r="AX112" s="278">
        <f>IF(MOD(AQ4,'Tableau de bord'!$B$61)=0,(('Tableau de bord'!$C$63)*$J$13)*SUM($J$83:AX83),0)</f>
        <v>0</v>
      </c>
      <c r="AY112" s="278">
        <f>IF(MOD(AR4,'Tableau de bord'!$B$61)=0,(('Tableau de bord'!$C$63)*$J$13)*SUM($J$83:AY83),0)</f>
        <v>0</v>
      </c>
      <c r="AZ112" s="593">
        <f>IF(MOD(AS4,'Tableau de bord'!$B$61)=0,(('Tableau de bord'!$C$63)*$J$13)*SUM($J$83:AZ83),0)</f>
        <v>0</v>
      </c>
    </row>
    <row r="113" spans="1:52" hidden="1" outlineLevel="1">
      <c r="A113" s="67" t="s">
        <v>159</v>
      </c>
      <c r="C113" s="360"/>
      <c r="D113" s="364"/>
      <c r="E113" s="364"/>
      <c r="F113" s="364"/>
      <c r="G113" s="364"/>
      <c r="H113" s="364"/>
      <c r="I113" s="364"/>
      <c r="J113" s="364"/>
      <c r="K113" s="278">
        <f>IF(MOD(C4,'Tableau de bord'!$B$61)=0,(('Tableau de bord'!$C$63)*$K$13)*SUM($K$84:K84),0)</f>
        <v>0</v>
      </c>
      <c r="L113" s="278">
        <f>IF(MOD(D4,'Tableau de bord'!$B$61)=0,(('Tableau de bord'!$C$63)*$K$13)*SUM($K$84:L84),0)</f>
        <v>0</v>
      </c>
      <c r="M113" s="278">
        <f>IF(MOD(E4,'Tableau de bord'!$B$61)=0,(('Tableau de bord'!$C$63)*$K$13)*SUM($K$84:M84),0)</f>
        <v>0</v>
      </c>
      <c r="N113" s="278">
        <f>IF(MOD(F4,'Tableau de bord'!$B$61)=0,(('Tableau de bord'!$C$63)*$K$13)*SUM($K$84:N84),0)</f>
        <v>0</v>
      </c>
      <c r="O113" s="278">
        <f>IF(MOD(G4,'Tableau de bord'!$B$61)=0,(('Tableau de bord'!$C$63)*$K$13)*SUM($K$84:O84),0)</f>
        <v>0</v>
      </c>
      <c r="P113" s="278">
        <f>IF(MOD(H4,'Tableau de bord'!$B$61)=0,(('Tableau de bord'!$C$63)*$K$13)*SUM($K$84:P84),0)</f>
        <v>0</v>
      </c>
      <c r="Q113" s="278">
        <f>IF(MOD(I4,'Tableau de bord'!$B$61)=0,(('Tableau de bord'!$C$63)*$K$13)*SUM($K$84:Q84),0)</f>
        <v>0</v>
      </c>
      <c r="R113" s="278">
        <f>IF(MOD(J4,'Tableau de bord'!$B$61)=0,(('Tableau de bord'!$C$63)*$K$13)*SUM($K$84:R84),0)</f>
        <v>0</v>
      </c>
      <c r="S113" s="278">
        <f>IF(MOD(K4,'Tableau de bord'!$B$61)=0,(('Tableau de bord'!$C$63)*$K$13)*SUM($K$84:S84),0)</f>
        <v>0</v>
      </c>
      <c r="T113" s="278">
        <f>IF(MOD(L4,'Tableau de bord'!$B$61)=0,(('Tableau de bord'!$C$63)*$K$13)*SUM($K$84:T84),0)</f>
        <v>0</v>
      </c>
      <c r="U113" s="278">
        <f>IF(MOD(M4,'Tableau de bord'!$B$61)=0,(('Tableau de bord'!$C$63)*$K$13)*SUM($K$84:U84),0)</f>
        <v>0</v>
      </c>
      <c r="V113" s="278">
        <f>IF(MOD(N4,'Tableau de bord'!$B$61)=0,(('Tableau de bord'!$C$63)*$K$13)*SUM($K$84:V84),0)</f>
        <v>0</v>
      </c>
      <c r="W113" s="278">
        <f>IF(MOD(O4,'Tableau de bord'!$B$61)=0,(('Tableau de bord'!$C$63)*$K$13)*SUM($K$84:W84),0)</f>
        <v>0</v>
      </c>
      <c r="X113" s="278">
        <f>IF(MOD(P4,'Tableau de bord'!$B$61)=0,(('Tableau de bord'!$C$63)*$K$13)*SUM($K$84:X84),0)</f>
        <v>0</v>
      </c>
      <c r="Y113" s="278">
        <f>IF(MOD(Q4,'Tableau de bord'!$B$61)=0,(('Tableau de bord'!$C$63)*$K$13)*SUM($K$84:Y84),0)</f>
        <v>0</v>
      </c>
      <c r="Z113" s="278">
        <f>IF(MOD(R4,'Tableau de bord'!$B$61)=0,(('Tableau de bord'!$C$63)*$K$13)*SUM($K$84:Z84),0)</f>
        <v>0</v>
      </c>
      <c r="AA113" s="278">
        <f>IF(MOD(S4,'Tableau de bord'!$B$61)=0,(('Tableau de bord'!$C$63)*$K$13)*SUM($K$84:AA84),0)</f>
        <v>0</v>
      </c>
      <c r="AB113" s="278">
        <f>IF(MOD(T4,'Tableau de bord'!$B$61)=0,(('Tableau de bord'!$C$63)*$K$13)*SUM($K$84:AB84),0)</f>
        <v>0</v>
      </c>
      <c r="AC113" s="278">
        <f>IF(MOD(U4,'Tableau de bord'!$B$61)=0,(('Tableau de bord'!$C$63)*$K$13)*SUM($K$84:AC84),0)</f>
        <v>0</v>
      </c>
      <c r="AD113" s="278">
        <f>IF(MOD(V4,'Tableau de bord'!$B$61)=0,(('Tableau de bord'!$C$63)*$K$13)*SUM($K$84:AD84),0)</f>
        <v>600</v>
      </c>
      <c r="AE113" s="278">
        <f>IF(MOD(W4,'Tableau de bord'!$B$61)=0,(('Tableau de bord'!$C$63)*$K$13)*SUM($K$84:AE84),0)</f>
        <v>0</v>
      </c>
      <c r="AF113" s="278">
        <f>IF(MOD(X4,'Tableau de bord'!$B$61)=0,(('Tableau de bord'!$C$63)*$K$13)*SUM($K$84:AF84),0)</f>
        <v>0</v>
      </c>
      <c r="AG113" s="278">
        <f>IF(MOD(Y4,'Tableau de bord'!$B$61)=0,(('Tableau de bord'!$C$63)*$K$13)*SUM($K$84:AG84),0)</f>
        <v>0</v>
      </c>
      <c r="AH113" s="278">
        <f>IF(MOD(Z4,'Tableau de bord'!$B$61)=0,(('Tableau de bord'!$C$63)*$K$13)*SUM($K$84:AH84),0)</f>
        <v>0</v>
      </c>
      <c r="AI113" s="278">
        <f>IF(MOD(AA4,'Tableau de bord'!$B$61)=0,(('Tableau de bord'!$C$63)*$K$13)*SUM($K$84:AI84),0)</f>
        <v>0</v>
      </c>
      <c r="AJ113" s="278">
        <f>IF(MOD(AB4,'Tableau de bord'!$B$61)=0,(('Tableau de bord'!$C$63)*$K$13)*SUM($K$84:AJ84),0)</f>
        <v>0</v>
      </c>
      <c r="AK113" s="278">
        <f>IF(MOD(AC4,'Tableau de bord'!$B$61)=0,(('Tableau de bord'!$C$63)*$K$13)*SUM($K$84:AK84),0)</f>
        <v>0</v>
      </c>
      <c r="AL113" s="278">
        <f>IF(MOD(AD4,'Tableau de bord'!$B$61)=0,(('Tableau de bord'!$C$63)*$K$13)*SUM($K$84:AL84),0)</f>
        <v>0</v>
      </c>
      <c r="AM113" s="278">
        <f>IF(MOD(AE4,'Tableau de bord'!$B$61)=0,(('Tableau de bord'!$C$63)*$K$13)*SUM($K$84:AM84),0)</f>
        <v>0</v>
      </c>
      <c r="AN113" s="278">
        <f>IF(MOD(AF4,'Tableau de bord'!$B$61)=0,(('Tableau de bord'!$C$63)*$K$13)*SUM($K$84:AN84),0)</f>
        <v>0</v>
      </c>
      <c r="AO113" s="278">
        <f>IF(MOD(AG4,'Tableau de bord'!$B$61)=0,(('Tableau de bord'!$C$63)*$K$13)*SUM($K$84:AO84),0)</f>
        <v>0</v>
      </c>
      <c r="AP113" s="278">
        <f>IF(MOD(AH4,'Tableau de bord'!$B$61)=0,(('Tableau de bord'!$C$63)*$K$13)*SUM($K$84:AP84),0)</f>
        <v>0</v>
      </c>
      <c r="AQ113" s="278">
        <f>IF(MOD(AI4,'Tableau de bord'!$B$61)=0,(('Tableau de bord'!$C$63)*$K$13)*SUM($K$84:AQ84),0)</f>
        <v>0</v>
      </c>
      <c r="AR113" s="278">
        <f>IF(MOD(AJ4,'Tableau de bord'!$B$61)=0,(('Tableau de bord'!$C$63)*$K$13)*SUM($K$84:AR84),0)</f>
        <v>0</v>
      </c>
      <c r="AS113" s="278">
        <f>IF(MOD(AK4,'Tableau de bord'!$B$61)=0,(('Tableau de bord'!$C$63)*$K$13)*SUM($K$84:AS84),0)</f>
        <v>0</v>
      </c>
      <c r="AT113" s="278">
        <f>IF(MOD(AL4,'Tableau de bord'!$B$61)=0,(('Tableau de bord'!$C$63)*$K$13)*SUM($K$84:AT84),0)</f>
        <v>0</v>
      </c>
      <c r="AU113" s="278">
        <f>IF(MOD(AM4,'Tableau de bord'!$B$61)=0,(('Tableau de bord'!$C$63)*$K$13)*SUM($K$84:AU84),0)</f>
        <v>0</v>
      </c>
      <c r="AV113" s="278">
        <f>IF(MOD(AN4,'Tableau de bord'!$B$61)=0,(('Tableau de bord'!$C$63)*$K$13)*SUM($K$84:AV84),0)</f>
        <v>0</v>
      </c>
      <c r="AW113" s="278">
        <f>IF(MOD(AO4,'Tableau de bord'!$B$61)=0,(('Tableau de bord'!$C$63)*$K$13)*SUM($K$84:AW84),0)</f>
        <v>0</v>
      </c>
      <c r="AX113" s="278">
        <f>IF(MOD(AP4,'Tableau de bord'!$B$61)=0,(('Tableau de bord'!$C$63)*$K$13)*SUM($K$84:AX84),0)</f>
        <v>600</v>
      </c>
      <c r="AY113" s="278">
        <f>IF(MOD(AQ4,'Tableau de bord'!$B$61)=0,(('Tableau de bord'!$C$63)*$K$13)*SUM($K$84:AY84),0)</f>
        <v>0</v>
      </c>
      <c r="AZ113" s="593">
        <f>IF(MOD(AR4,'Tableau de bord'!$B$61)=0,(('Tableau de bord'!$C$63)*$K$13)*SUM($K$84:AZ84),0)</f>
        <v>0</v>
      </c>
    </row>
    <row r="114" spans="1:52" hidden="1" outlineLevel="1">
      <c r="A114" s="67" t="s">
        <v>160</v>
      </c>
      <c r="C114" s="365"/>
      <c r="D114" s="366"/>
      <c r="E114" s="366"/>
      <c r="F114" s="366"/>
      <c r="G114" s="366"/>
      <c r="H114" s="366"/>
      <c r="I114" s="366"/>
      <c r="J114" s="366"/>
      <c r="K114" s="366"/>
      <c r="L114" s="594">
        <f>IF(MOD(C4,'Tableau de bord'!$B$61)=0,(('Tableau de bord'!$C$63)*$L$13)*SUM($L$85:L85),0)</f>
        <v>0</v>
      </c>
      <c r="M114" s="594">
        <f>IF(MOD(D4,'Tableau de bord'!$B$61)=0,(('Tableau de bord'!$C$63)*$L$13)*SUM($L$85:M85),0)</f>
        <v>0</v>
      </c>
      <c r="N114" s="594">
        <f>IF(MOD(E4,'Tableau de bord'!$B$61)=0,(('Tableau de bord'!$C$63)*$L$13)*SUM($L$85:N85),0)</f>
        <v>0</v>
      </c>
      <c r="O114" s="594">
        <f>IF(MOD(F4,'Tableau de bord'!$B$61)=0,(('Tableau de bord'!$C$63)*$L$13)*SUM($L$85:O85),0)</f>
        <v>0</v>
      </c>
      <c r="P114" s="594">
        <f>IF(MOD(G4,'Tableau de bord'!$B$61)=0,(('Tableau de bord'!$C$63)*$L$13)*SUM($L$85:P85),0)</f>
        <v>0</v>
      </c>
      <c r="Q114" s="594">
        <f>IF(MOD(H4,'Tableau de bord'!$B$61)=0,(('Tableau de bord'!$C$63)*$L$13)*SUM($L$85:Q85),0)</f>
        <v>0</v>
      </c>
      <c r="R114" s="594">
        <f>IF(MOD(I4,'Tableau de bord'!$B$61)=0,(('Tableau de bord'!$C$63)*$L$13)*SUM($L$85:R85),0)</f>
        <v>0</v>
      </c>
      <c r="S114" s="594">
        <f>IF(MOD(J4,'Tableau de bord'!$B$61)=0,(('Tableau de bord'!$C$63)*$L$13)*SUM($L$85:S85),0)</f>
        <v>0</v>
      </c>
      <c r="T114" s="594">
        <f>IF(MOD(K4,'Tableau de bord'!$B$61)=0,(('Tableau de bord'!$C$63)*$L$13)*SUM($L$85:T85),0)</f>
        <v>0</v>
      </c>
      <c r="U114" s="594">
        <f>IF(MOD(L4,'Tableau de bord'!$B$61)=0,(('Tableau de bord'!$C$63)*$L$13)*SUM($L$85:U85),0)</f>
        <v>0</v>
      </c>
      <c r="V114" s="594">
        <f>IF(MOD(M4,'Tableau de bord'!$B$61)=0,(('Tableau de bord'!$C$63)*$L$13)*SUM($L$85:V85),0)</f>
        <v>0</v>
      </c>
      <c r="W114" s="594">
        <f>IF(MOD(N4,'Tableau de bord'!$B$61)=0,(('Tableau de bord'!$C$63)*$L$13)*SUM($L$85:W85),0)</f>
        <v>0</v>
      </c>
      <c r="X114" s="594">
        <f>IF(MOD(O4,'Tableau de bord'!$B$61)=0,(('Tableau de bord'!$C$63)*$L$13)*SUM($L$85:X85),0)</f>
        <v>0</v>
      </c>
      <c r="Y114" s="594">
        <f>IF(MOD(P4,'Tableau de bord'!$B$61)=0,(('Tableau de bord'!$C$63)*$L$13)*SUM($L$85:Y85),0)</f>
        <v>0</v>
      </c>
      <c r="Z114" s="594">
        <f>IF(MOD(Q4,'Tableau de bord'!$B$61)=0,(('Tableau de bord'!$C$63)*$L$13)*SUM($L$85:Z85),0)</f>
        <v>0</v>
      </c>
      <c r="AA114" s="594">
        <f>IF(MOD(R4,'Tableau de bord'!$B$61)=0,(('Tableau de bord'!$C$63)*$L$13)*SUM($L$85:AA85),0)</f>
        <v>0</v>
      </c>
      <c r="AB114" s="594">
        <f>IF(MOD(S4,'Tableau de bord'!$B$61)=0,(('Tableau de bord'!$C$63)*$L$13)*SUM($L$85:AB85),0)</f>
        <v>0</v>
      </c>
      <c r="AC114" s="594">
        <f>IF(MOD(T4,'Tableau de bord'!$B$61)=0,(('Tableau de bord'!$C$63)*$L$13)*SUM($L$85:AC85),0)</f>
        <v>0</v>
      </c>
      <c r="AD114" s="594">
        <f>IF(MOD(U4,'Tableau de bord'!$B$61)=0,(('Tableau de bord'!$C$63)*$L$13)*SUM($L$85:AD85),0)</f>
        <v>0</v>
      </c>
      <c r="AE114" s="594">
        <f>IF(MOD(V4,'Tableau de bord'!$B$61)=0,(('Tableau de bord'!$C$63)*$L$13)*SUM($L$85:AE85),0)</f>
        <v>0</v>
      </c>
      <c r="AF114" s="594">
        <f>IF(MOD(W4,'Tableau de bord'!$B$61)=0,(('Tableau de bord'!$C$63)*$L$13)*SUM($L$85:AF85),0)</f>
        <v>0</v>
      </c>
      <c r="AG114" s="594">
        <f>IF(MOD(X4,'Tableau de bord'!$B$61)=0,(('Tableau de bord'!$C$63)*$L$13)*SUM($L$85:AG85),0)</f>
        <v>0</v>
      </c>
      <c r="AH114" s="594">
        <f>IF(MOD(Y4,'Tableau de bord'!$B$61)=0,(('Tableau de bord'!$C$63)*$L$13)*SUM($L$85:AH85),0)</f>
        <v>0</v>
      </c>
      <c r="AI114" s="594">
        <f>IF(MOD(Z4,'Tableau de bord'!$B$61)=0,(('Tableau de bord'!$C$63)*$L$13)*SUM($L$85:AI85),0)</f>
        <v>0</v>
      </c>
      <c r="AJ114" s="594">
        <f>IF(MOD(AA4,'Tableau de bord'!$B$61)=0,(('Tableau de bord'!$C$63)*$L$13)*SUM($L$85:AJ85),0)</f>
        <v>0</v>
      </c>
      <c r="AK114" s="594">
        <f>IF(MOD(AB4,'Tableau de bord'!$B$61)=0,(('Tableau de bord'!$C$63)*$L$13)*SUM($L$85:AK85),0)</f>
        <v>0</v>
      </c>
      <c r="AL114" s="594">
        <f>IF(MOD(AC4,'Tableau de bord'!$B$61)=0,(('Tableau de bord'!$C$63)*$L$13)*SUM($L$85:AL85),0)</f>
        <v>0</v>
      </c>
      <c r="AM114" s="594">
        <f>IF(MOD(AD4,'Tableau de bord'!$B$61)=0,(('Tableau de bord'!$C$63)*$L$13)*SUM($L$85:AM85),0)</f>
        <v>0</v>
      </c>
      <c r="AN114" s="594">
        <f>IF(MOD(AE4,'Tableau de bord'!$B$61)=0,(('Tableau de bord'!$C$63)*$L$13)*SUM($L$85:AN85),0)</f>
        <v>0</v>
      </c>
      <c r="AO114" s="594">
        <f>IF(MOD(AF4,'Tableau de bord'!$B$61)=0,(('Tableau de bord'!$C$63)*$L$13)*SUM($L$85:AO85),0)</f>
        <v>0</v>
      </c>
      <c r="AP114" s="594">
        <f>IF(MOD(AG4,'Tableau de bord'!$B$61)=0,(('Tableau de bord'!$C$63)*$L$13)*SUM($L$85:AP85),0)</f>
        <v>0</v>
      </c>
      <c r="AQ114" s="594">
        <f>IF(MOD(AH4,'Tableau de bord'!$B$61)=0,(('Tableau de bord'!$C$63)*$L$13)*SUM($L$85:AQ85),0)</f>
        <v>0</v>
      </c>
      <c r="AR114" s="594">
        <f>IF(MOD(AI4,'Tableau de bord'!$B$61)=0,(('Tableau de bord'!$C$63)*$L$13)*SUM($L$85:AR85),0)</f>
        <v>0</v>
      </c>
      <c r="AS114" s="594">
        <f>IF(MOD(AJ4,'Tableau de bord'!$B$61)=0,(('Tableau de bord'!$C$63)*$L$13)*SUM($L$85:AS85),0)</f>
        <v>0</v>
      </c>
      <c r="AT114" s="594">
        <f>IF(MOD(AK4,'Tableau de bord'!$B$61)=0,(('Tableau de bord'!$C$63)*$L$13)*SUM($L$85:AT85),0)</f>
        <v>0</v>
      </c>
      <c r="AU114" s="594">
        <f>IF(MOD(AL4,'Tableau de bord'!$B$61)=0,(('Tableau de bord'!$C$63)*$L$13)*SUM($L$85:AU85),0)</f>
        <v>0</v>
      </c>
      <c r="AV114" s="594">
        <f>IF(MOD(AM4,'Tableau de bord'!$B$61)=0,(('Tableau de bord'!$C$63)*$L$13)*SUM($L$85:AV85),0)</f>
        <v>0</v>
      </c>
      <c r="AW114" s="594">
        <f>IF(MOD(AN4,'Tableau de bord'!$B$61)=0,(('Tableau de bord'!$C$63)*$L$13)*SUM($L$85:AW85),0)</f>
        <v>0</v>
      </c>
      <c r="AX114" s="594">
        <f>IF(MOD(AO4,'Tableau de bord'!$B$61)=0,(('Tableau de bord'!$C$63)*$L$13)*SUM($L$85:AX85),0)</f>
        <v>0</v>
      </c>
      <c r="AY114" s="594">
        <f>IF(MOD(AP4,'Tableau de bord'!$B$61)=0,(('Tableau de bord'!$C$63)*$L$13)*SUM($L$85:AY85),0)</f>
        <v>0</v>
      </c>
      <c r="AZ114" s="595">
        <f>IF(MOD(AQ4,'Tableau de bord'!$B$61)=0,(('Tableau de bord'!$C$63)*$L$13)*SUM($L$85:AZ85),0)</f>
        <v>0</v>
      </c>
    </row>
    <row r="115" spans="1:52" collapsed="1"/>
  </sheetData>
  <dataConsolidate/>
  <conditionalFormatting sqref="C28:AZ28">
    <cfRule type="cellIs" dxfId="1" priority="2" operator="greaterThan">
      <formula>1</formula>
    </cfRule>
  </conditionalFormatting>
  <conditionalFormatting sqref="B29:AZ29">
    <cfRule type="cellIs" dxfId="0" priority="1" operator="equal">
      <formula>FALSE</formula>
    </cfRule>
  </conditionalFormatting>
  <dataValidations count="1">
    <dataValidation allowBlank="1" showDropDown="1" showInputMessage="1" showErrorMessage="1" sqref="N57:V67 P72:P73 N50:AZ56 L68:AZ71 W59:AZ67 G49:AZ49 W72:AZ73 C76:AZ86 C47:D67 E47:AZ47 E48:E67 F48:AZ48 F49:F67 G50:M67 C88:AZ103 Q72:V74 C68:K74 C110:G114 H111:H114 I112:I114 J114:K114 J113 E108:E109 F109 D107:D109 C106:C109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00FF"/>
  </sheetPr>
  <dimension ref="A1:BA153"/>
  <sheetViews>
    <sheetView showRuler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outlineLevelRow="1"/>
  <cols>
    <col min="1" max="1" width="62.42578125" style="96" bestFit="1" customWidth="1"/>
    <col min="2" max="2" width="45.140625" style="10" bestFit="1" customWidth="1"/>
    <col min="3" max="3" width="12.7109375" style="1" customWidth="1"/>
    <col min="4" max="4" width="12.140625" style="1" bestFit="1" customWidth="1"/>
    <col min="5" max="5" width="14.28515625" style="1" bestFit="1" customWidth="1"/>
    <col min="6" max="52" width="12.7109375" style="1" customWidth="1"/>
    <col min="53" max="16384" width="11.42578125" style="1"/>
  </cols>
  <sheetData>
    <row r="1" spans="1:52" ht="13.5" thickBot="1">
      <c r="B1" s="624" t="s">
        <v>77</v>
      </c>
      <c r="C1" s="625"/>
      <c r="E1" s="37"/>
    </row>
    <row r="2" spans="1:52">
      <c r="B2" s="2" t="s">
        <v>58</v>
      </c>
      <c r="C2" s="205">
        <f>'Revenus non récurrents'!C2</f>
        <v>140</v>
      </c>
      <c r="E2" s="37"/>
    </row>
    <row r="3" spans="1:52">
      <c r="B3" s="3" t="s">
        <v>59</v>
      </c>
      <c r="C3" s="206">
        <f>'Revenus non récurrents'!C3</f>
        <v>360</v>
      </c>
      <c r="D3" s="37"/>
      <c r="E3" s="37"/>
    </row>
    <row r="4" spans="1:52">
      <c r="B4" s="3" t="s">
        <v>118</v>
      </c>
      <c r="C4" s="207">
        <f ca="1">'Calcul de la réserve'!C15+'Calcul charges d''exploitation'!C8+'Calcul du coût du GC'!C10</f>
        <v>5.0653743870744652</v>
      </c>
      <c r="D4" s="587"/>
      <c r="E4" s="37"/>
    </row>
    <row r="5" spans="1:52" ht="13.5" thickBot="1">
      <c r="B5" s="4" t="s">
        <v>16</v>
      </c>
      <c r="C5" s="208">
        <f ca="1">'Calcul location'!C32</f>
        <v>13.360965183883945</v>
      </c>
      <c r="D5" s="596" t="str">
        <f>IF('Calcul location'!B29=FALSE,"Attention scénario d'achat de tranches de l'opérateur générique non cohérent avec le taux de pénétration et sa part de marché","")</f>
        <v/>
      </c>
      <c r="E5" s="37"/>
    </row>
    <row r="6" spans="1:52" ht="13.5" thickBot="1"/>
    <row r="7" spans="1:52" ht="13.5" thickBot="1">
      <c r="A7" s="102" t="s">
        <v>14</v>
      </c>
      <c r="B7" s="105" t="s">
        <v>7</v>
      </c>
      <c r="C7" s="103">
        <v>1</v>
      </c>
      <c r="D7" s="103">
        <v>2</v>
      </c>
      <c r="E7" s="103">
        <v>3</v>
      </c>
      <c r="F7" s="103">
        <v>4</v>
      </c>
      <c r="G7" s="103">
        <v>5</v>
      </c>
      <c r="H7" s="103">
        <v>6</v>
      </c>
      <c r="I7" s="103">
        <v>7</v>
      </c>
      <c r="J7" s="103">
        <v>8</v>
      </c>
      <c r="K7" s="103">
        <v>9</v>
      </c>
      <c r="L7" s="103">
        <v>10</v>
      </c>
      <c r="M7" s="103">
        <v>11</v>
      </c>
      <c r="N7" s="103">
        <v>12</v>
      </c>
      <c r="O7" s="103">
        <v>13</v>
      </c>
      <c r="P7" s="103">
        <v>14</v>
      </c>
      <c r="Q7" s="103">
        <v>15</v>
      </c>
      <c r="R7" s="103">
        <v>16</v>
      </c>
      <c r="S7" s="103">
        <v>17</v>
      </c>
      <c r="T7" s="103">
        <v>18</v>
      </c>
      <c r="U7" s="103">
        <v>19</v>
      </c>
      <c r="V7" s="103">
        <v>20</v>
      </c>
      <c r="W7" s="103">
        <v>21</v>
      </c>
      <c r="X7" s="103">
        <v>22</v>
      </c>
      <c r="Y7" s="103">
        <v>23</v>
      </c>
      <c r="Z7" s="103">
        <v>24</v>
      </c>
      <c r="AA7" s="103">
        <v>25</v>
      </c>
      <c r="AB7" s="103">
        <v>26</v>
      </c>
      <c r="AC7" s="103">
        <v>27</v>
      </c>
      <c r="AD7" s="103">
        <v>28</v>
      </c>
      <c r="AE7" s="103">
        <v>29</v>
      </c>
      <c r="AF7" s="103">
        <v>30</v>
      </c>
      <c r="AG7" s="103">
        <v>31</v>
      </c>
      <c r="AH7" s="103">
        <v>32</v>
      </c>
      <c r="AI7" s="103">
        <v>33</v>
      </c>
      <c r="AJ7" s="103">
        <v>34</v>
      </c>
      <c r="AK7" s="103">
        <v>35</v>
      </c>
      <c r="AL7" s="103">
        <v>36</v>
      </c>
      <c r="AM7" s="103">
        <v>37</v>
      </c>
      <c r="AN7" s="103">
        <v>38</v>
      </c>
      <c r="AO7" s="103">
        <v>39</v>
      </c>
      <c r="AP7" s="103">
        <v>40</v>
      </c>
      <c r="AQ7" s="103">
        <v>41</v>
      </c>
      <c r="AR7" s="103">
        <v>42</v>
      </c>
      <c r="AS7" s="103">
        <v>43</v>
      </c>
      <c r="AT7" s="103">
        <v>44</v>
      </c>
      <c r="AU7" s="103">
        <v>45</v>
      </c>
      <c r="AV7" s="103">
        <v>46</v>
      </c>
      <c r="AW7" s="103">
        <v>47</v>
      </c>
      <c r="AX7" s="103">
        <v>48</v>
      </c>
      <c r="AY7" s="103">
        <v>49</v>
      </c>
      <c r="AZ7" s="104">
        <v>50</v>
      </c>
    </row>
    <row r="8" spans="1:52">
      <c r="A8" s="540"/>
      <c r="B8" s="541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2"/>
      <c r="AB8" s="542"/>
      <c r="AC8" s="542"/>
      <c r="AD8" s="542"/>
      <c r="AE8" s="542"/>
      <c r="AF8" s="542"/>
      <c r="AG8" s="542"/>
      <c r="AH8" s="542"/>
      <c r="AI8" s="542"/>
      <c r="AJ8" s="542"/>
      <c r="AK8" s="542"/>
      <c r="AL8" s="542"/>
      <c r="AM8" s="542"/>
      <c r="AN8" s="542"/>
      <c r="AO8" s="542"/>
      <c r="AP8" s="542"/>
      <c r="AQ8" s="542"/>
      <c r="AR8" s="542"/>
      <c r="AS8" s="542"/>
      <c r="AT8" s="542"/>
      <c r="AU8" s="542"/>
      <c r="AV8" s="542"/>
      <c r="AW8" s="542"/>
      <c r="AX8" s="542"/>
      <c r="AY8" s="542"/>
      <c r="AZ8" s="542"/>
    </row>
    <row r="9" spans="1:52">
      <c r="A9" s="564" t="s">
        <v>119</v>
      </c>
      <c r="B9" s="209">
        <v>25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52">
      <c r="A10" s="565"/>
      <c r="B10" s="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52" s="67" customFormat="1">
      <c r="A11" s="566" t="s">
        <v>127</v>
      </c>
      <c r="B11" s="554" t="s">
        <v>170</v>
      </c>
      <c r="C11" s="537">
        <f ca="1">(SUM('Revenus récurrents'!C15:C18)+SUM('Revenus non récurrents'!C11:C12))+'Revenus non récurrents'!C13-('Calcul de la réserve'!C13+'Calcul du coût du GC'!C8+'Calcul charges d''exploitation'!C4)</f>
        <v>-1398984.7612030942</v>
      </c>
      <c r="D11" s="538">
        <f ca="1">(SUM('Revenus récurrents'!D15:D18)+SUM('Revenus non récurrents'!D11:D12))+'Revenus non récurrents'!D13-('Calcul de la réserve'!D13+'Calcul du coût du GC'!D8+'Calcul charges d''exploitation'!D4)</f>
        <v>-2886617.5765483603</v>
      </c>
      <c r="E11" s="538">
        <f ca="1">(SUM('Revenus récurrents'!E15:E18)+SUM('Revenus non récurrents'!E11:E12))+'Revenus non récurrents'!E13-('Calcul de la réserve'!E13+'Calcul du coût du GC'!E8+'Calcul charges d''exploitation'!E4)</f>
        <v>-3256712.8915597601</v>
      </c>
      <c r="F11" s="538">
        <f ca="1">(SUM('Revenus récurrents'!F15:F18)+SUM('Revenus non récurrents'!F11:F12))+'Revenus non récurrents'!F13-('Calcul de la réserve'!F13+'Calcul du coût du GC'!F8+'Calcul charges d''exploitation'!F4)</f>
        <v>-3198299.0786460191</v>
      </c>
      <c r="G11" s="538">
        <f ca="1">(SUM('Revenus récurrents'!G15:G18)+SUM('Revenus non récurrents'!G11:G12))+'Revenus non récurrents'!G13-('Calcul de la réserve'!G13+'Calcul du coût du GC'!G8+'Calcul charges d''exploitation'!G4)</f>
        <v>-4119189.9618945518</v>
      </c>
      <c r="H11" s="538">
        <f ca="1">(SUM('Revenus récurrents'!H15:H18)+SUM('Revenus non récurrents'!H11:H12))+'Revenus non récurrents'!H13-('Calcul de la réserve'!H13+'Calcul du coût du GC'!H8+'Calcul charges d''exploitation'!H4)</f>
        <v>506495.74272410106</v>
      </c>
      <c r="I11" s="538">
        <f ca="1">(SUM('Revenus récurrents'!I15:I18)+SUM('Revenus non récurrents'!I11:I12))+'Revenus non récurrents'!I13-('Calcul de la réserve'!I13+'Calcul du coût du GC'!I8+'Calcul charges d''exploitation'!I4)</f>
        <v>354989.39346584678</v>
      </c>
      <c r="J11" s="538">
        <f ca="1">(SUM('Revenus récurrents'!J15:J18)+SUM('Revenus non récurrents'!J11:J12))+'Revenus non récurrents'!J13-('Calcul de la réserve'!J13+'Calcul du coût du GC'!J8+'Calcul charges d''exploitation'!J4)</f>
        <v>1562099.7462334568</v>
      </c>
      <c r="K11" s="538">
        <f ca="1">(SUM('Revenus récurrents'!K15:K18)+SUM('Revenus non récurrents'!K11:K12))+'Revenus non récurrents'!K13-('Calcul de la réserve'!K13+'Calcul du coût du GC'!K8+'Calcul charges d''exploitation'!K4)</f>
        <v>6231150.9134623166</v>
      </c>
      <c r="L11" s="538">
        <f ca="1">(SUM('Revenus récurrents'!L15:L18)+SUM('Revenus non récurrents'!L11:L12))+'Revenus non récurrents'!L13-('Calcul de la réserve'!L13+'Calcul du coût du GC'!L8+'Calcul charges d''exploitation'!L4)</f>
        <v>4061499.4657913577</v>
      </c>
      <c r="M11" s="538">
        <f ca="1">(SUM('Revenus récurrents'!M15:M18)+SUM('Revenus non récurrents'!M11:M12))+'Revenus non récurrents'!M13-('Calcul de la réserve'!M13+'Calcul du coût du GC'!M8+'Calcul charges d''exploitation'!M4)</f>
        <v>4513026.7100628316</v>
      </c>
      <c r="N11" s="538">
        <f ca="1">(SUM('Revenus récurrents'!N15:N18)+SUM('Revenus non récurrents'!N11:N12))+'Revenus non récurrents'!N13-('Calcul de la réserve'!N13+'Calcul du coût du GC'!N8+'Calcul charges d''exploitation'!N4)</f>
        <v>1046360.7470730636</v>
      </c>
      <c r="O11" s="538">
        <f ca="1">(SUM('Revenus récurrents'!O15:O18)+SUM('Revenus non récurrents'!O11:O12))+'Revenus non récurrents'!O13-('Calcul de la réserve'!O13+'Calcul du coût du GC'!O8+'Calcul charges d''exploitation'!O4)</f>
        <v>1041553.0690274304</v>
      </c>
      <c r="P11" s="538">
        <f ca="1">(SUM('Revenus récurrents'!P15:P18)+SUM('Revenus non récurrents'!P11:P12))+'Revenus non récurrents'!P13-('Calcul de la réserve'!P13+'Calcul du coût du GC'!P8+'Calcul charges d''exploitation'!P4)</f>
        <v>4644333.6193290092</v>
      </c>
      <c r="Q11" s="538">
        <f ca="1">(SUM('Revenus récurrents'!Q15:Q18)+SUM('Revenus non récurrents'!Q11:Q12))+'Revenus non récurrents'!Q13-('Calcul de la réserve'!Q13+'Calcul du coût du GC'!Q8+'Calcul charges d''exploitation'!Q4)</f>
        <v>939339.89713138435</v>
      </c>
      <c r="R11" s="538">
        <f ca="1">(SUM('Revenus récurrents'!R15:R18)+SUM('Revenus non récurrents'!R11:R12))+'Revenus non récurrents'!R13-('Calcul de la réserve'!R13+'Calcul du coût du GC'!R8+'Calcul charges d''exploitation'!R4)</f>
        <v>880775.85174763482</v>
      </c>
      <c r="S11" s="538">
        <f ca="1">(SUM('Revenus récurrents'!S15:S18)+SUM('Revenus non récurrents'!S11:S12))+'Revenus non récurrents'!S13-('Calcul de la réserve'!S13+'Calcul du coût du GC'!S8+'Calcul charges d''exploitation'!S4)</f>
        <v>836526.57174019283</v>
      </c>
      <c r="T11" s="538">
        <f ca="1">(SUM('Revenus récurrents'!T15:T18)+SUM('Revenus non récurrents'!T11:T12))+'Revenus non récurrents'!T13-('Calcul de la réserve'!T13+'Calcul du coût du GC'!T8+'Calcul charges d''exploitation'!T4)</f>
        <v>790641.46295888722</v>
      </c>
      <c r="U11" s="538">
        <f ca="1">(SUM('Revenus récurrents'!U15:U18)+SUM('Revenus non récurrents'!U11:U12))+'Revenus non récurrents'!U13-('Calcul de la réserve'!U13+'Calcul du coût du GC'!U8+'Calcul charges d''exploitation'!U4)</f>
        <v>749928.51696802769</v>
      </c>
      <c r="V11" s="538">
        <f ca="1">(SUM('Revenus récurrents'!V15:V18)+SUM('Revenus non récurrents'!V11:V12))+'Revenus non récurrents'!V13-('Calcul de la réserve'!V13+'Calcul du coût du GC'!V8+'Calcul charges d''exploitation'!V4)</f>
        <v>718973.00553754158</v>
      </c>
      <c r="W11" s="538">
        <f ca="1">(SUM('Revenus récurrents'!W15:W18)+SUM('Revenus non récurrents'!W11:W12))+'Revenus non récurrents'!W13-('Calcul de la réserve'!W13+'Calcul du coût du GC'!W8+'Calcul charges d''exploitation'!W4)</f>
        <v>1985856.0513309641</v>
      </c>
      <c r="X11" s="538">
        <f ca="1">(SUM('Revenus récurrents'!X15:X18)+SUM('Revenus non récurrents'!X11:X12))+'Revenus non récurrents'!X13-('Calcul de la réserve'!X13+'Calcul du coût du GC'!X8+'Calcul charges d''exploitation'!X4)</f>
        <v>1992176.6495177718</v>
      </c>
      <c r="Y11" s="538">
        <f ca="1">(SUM('Revenus récurrents'!Y15:Y18)+SUM('Revenus non récurrents'!Y11:Y12))+'Revenus non récurrents'!Y13-('Calcul de la réserve'!Y13+'Calcul du coût du GC'!Y8+'Calcul charges d''exploitation'!Y4)</f>
        <v>1978398.6434637532</v>
      </c>
      <c r="Z11" s="538">
        <f ca="1">(SUM('Revenus récurrents'!Z15:Z18)+SUM('Revenus non récurrents'!Z11:Z12))+'Revenus non récurrents'!Z13-('Calcul de la réserve'!Z13+'Calcul du coût du GC'!Z8+'Calcul charges d''exploitation'!Z4)</f>
        <v>1951641.4825394424</v>
      </c>
      <c r="AA11" s="538">
        <f ca="1">(SUM('Revenus récurrents'!AA15:AA18)+SUM('Revenus non récurrents'!AA11:AA12))+'Revenus non récurrents'!AA13-('Calcul de la réserve'!AA13+'Calcul du coût du GC'!AA8+'Calcul charges d''exploitation'!AA4)</f>
        <v>1927129.4359844155</v>
      </c>
      <c r="AB11" s="538">
        <f ca="1">(SUM('Revenus récurrents'!AB15:AB18)+SUM('Revenus non récurrents'!AB11:AB12))+'Revenus non récurrents'!AB13-('Calcul de la réserve'!AB13+'Calcul du coût du GC'!AB8+'Calcul charges d''exploitation'!AB4)</f>
        <v>1898847.0043530706</v>
      </c>
      <c r="AC11" s="538">
        <f ca="1">(SUM('Revenus récurrents'!AC15:AC18)+SUM('Revenus non récurrents'!AC11:AC12))+'Revenus non récurrents'!AC13-('Calcul de la réserve'!AC13+'Calcul du coût du GC'!AC8+'Calcul charges d''exploitation'!AC4)</f>
        <v>1883250.7670482034</v>
      </c>
      <c r="AD11" s="538">
        <f ca="1">(SUM('Revenus récurrents'!AD15:AD18)+SUM('Revenus non récurrents'!AD11:AD12))+'Revenus non récurrents'!AD13-('Calcul de la réserve'!AD13+'Calcul du coût du GC'!AD8+'Calcul charges d''exploitation'!AD4)</f>
        <v>1864054.5297433361</v>
      </c>
      <c r="AE11" s="538">
        <f ca="1">(SUM('Revenus récurrents'!AE15:AE18)+SUM('Revenus non récurrents'!AE11:AE12))+'Revenus non récurrents'!AE13-('Calcul de la réserve'!AE13+'Calcul du coût du GC'!AE8+'Calcul charges d''exploitation'!AE4)</f>
        <v>1846658.2924384689</v>
      </c>
      <c r="AF11" s="538">
        <f ca="1">(SUM('Revenus récurrents'!AF15:AF18)+SUM('Revenus non récurrents'!AF11:AF12))+'Revenus non récurrents'!AF13-('Calcul de la réserve'!AF13+'Calcul du coût du GC'!AF8+'Calcul charges d''exploitation'!AF4)</f>
        <v>1831962.0551336012</v>
      </c>
      <c r="AG11" s="538">
        <f ca="1">(SUM('Revenus récurrents'!AG15:AG18)+SUM('Revenus non récurrents'!AG11:AG12))+'Revenus non récurrents'!AG13-('Calcul de la réserve'!AG13+'Calcul du coût du GC'!AG8+'Calcul charges d''exploitation'!AG4)</f>
        <v>1817265.8178287339</v>
      </c>
      <c r="AH11" s="538">
        <f ca="1">(SUM('Revenus récurrents'!AH15:AH18)+SUM('Revenus non récurrents'!AH11:AH12))+'Revenus non récurrents'!AH13-('Calcul de la réserve'!AH13+'Calcul du coût du GC'!AH8+'Calcul charges d''exploitation'!AH4)</f>
        <v>1802569.5805238667</v>
      </c>
      <c r="AI11" s="538">
        <f ca="1">(SUM('Revenus récurrents'!AI15:AI18)+SUM('Revenus non récurrents'!AI11:AI12))+'Revenus non récurrents'!AI13-('Calcul de la réserve'!AI13+'Calcul du coût du GC'!AI8+'Calcul charges d''exploitation'!AI4)</f>
        <v>1787873.343218999</v>
      </c>
      <c r="AJ11" s="538">
        <f ca="1">(SUM('Revenus récurrents'!AJ15:AJ18)+SUM('Revenus non récurrents'!AJ11:AJ12))+'Revenus non récurrents'!AJ13-('Calcul de la réserve'!AJ13+'Calcul du coût du GC'!AJ8+'Calcul charges d''exploitation'!AJ4)</f>
        <v>1773177.1059141317</v>
      </c>
      <c r="AK11" s="538">
        <f ca="1">(SUM('Revenus récurrents'!AK15:AK18)+SUM('Revenus non récurrents'!AK11:AK12))+'Revenus non récurrents'!AK13-('Calcul de la réserve'!AK13+'Calcul du coût du GC'!AK8+'Calcul charges d''exploitation'!AK4)</f>
        <v>1758480.8686092645</v>
      </c>
      <c r="AL11" s="538">
        <f ca="1">(SUM('Revenus récurrents'!AL15:AL18)+SUM('Revenus non récurrents'!AL11:AL12))+'Revenus non récurrents'!AL13-('Calcul de la réserve'!AL13+'Calcul du coût du GC'!AL8+'Calcul charges d''exploitation'!AL4)</f>
        <v>1743784.6313043972</v>
      </c>
      <c r="AM11" s="538">
        <f ca="1">(SUM('Revenus récurrents'!AM15:AM18)+SUM('Revenus non récurrents'!AM11:AM12))+'Revenus non récurrents'!AM13-('Calcul de la réserve'!AM13+'Calcul du coût du GC'!AM8+'Calcul charges d''exploitation'!AM4)</f>
        <v>1729088.39399953</v>
      </c>
      <c r="AN11" s="538">
        <f ca="1">(SUM('Revenus récurrents'!AN15:AN18)+SUM('Revenus non récurrents'!AN11:AN12))+'Revenus non récurrents'!AN13-('Calcul de la réserve'!AN13+'Calcul du coût du GC'!AN8+'Calcul charges d''exploitation'!AN4)</f>
        <v>1714392.1566946623</v>
      </c>
      <c r="AO11" s="538">
        <f ca="1">(SUM('Revenus récurrents'!AO15:AO18)+SUM('Revenus non récurrents'!AO11:AO12))+'Revenus non récurrents'!AO13-('Calcul de la réserve'!AO13+'Calcul du coût du GC'!AO8+'Calcul charges d''exploitation'!AO4)</f>
        <v>1699695.919389795</v>
      </c>
      <c r="AP11" s="538">
        <f ca="1">(SUM('Revenus récurrents'!AP15:AP18)+SUM('Revenus non récurrents'!AP11:AP12))+'Revenus non récurrents'!AP13-('Calcul de la réserve'!AP13+'Calcul du coût du GC'!AP8+'Calcul charges d''exploitation'!AP4)</f>
        <v>1692199.6820849278</v>
      </c>
      <c r="AQ11" s="538">
        <f ca="1">(SUM('Revenus récurrents'!AQ15:AQ18)+SUM('Revenus non récurrents'!AQ11:AQ12))+'Revenus non récurrents'!AQ13-('Calcul de la réserve'!AQ13+'Calcul du coût du GC'!AQ8+'Calcul charges d''exploitation'!AQ4)</f>
        <v>1682003.4447800601</v>
      </c>
      <c r="AR11" s="538">
        <f ca="1">(SUM('Revenus récurrents'!AR15:AR18)+SUM('Revenus non récurrents'!AR11:AR12))+'Revenus non récurrents'!AR13-('Calcul de la réserve'!AR13+'Calcul du coût du GC'!AR8+'Calcul charges d''exploitation'!AR4)</f>
        <v>1669107.2074751928</v>
      </c>
      <c r="AS11" s="538">
        <f ca="1">(SUM('Revenus récurrents'!AS15:AS18)+SUM('Revenus non récurrents'!AS11:AS12))+'Revenus non récurrents'!AS13-('Calcul de la réserve'!AS13+'Calcul du coût du GC'!AS8+'Calcul charges d''exploitation'!AS4)</f>
        <v>1655310.9701703256</v>
      </c>
      <c r="AT11" s="538">
        <f ca="1">(SUM('Revenus récurrents'!AT15:AT18)+SUM('Revenus non récurrents'!AT11:AT12))+'Revenus non récurrents'!AT13-('Calcul de la réserve'!AT13+'Calcul du coût du GC'!AT8+'Calcul charges d''exploitation'!AT4)</f>
        <v>1639714.7328654584</v>
      </c>
      <c r="AU11" s="538">
        <f ca="1">(SUM('Revenus récurrents'!AU15:AU18)+SUM('Revenus non récurrents'!AU11:AU12))+'Revenus non récurrents'!AU13-('Calcul de la réserve'!AU13+'Calcul du coût du GC'!AU8+'Calcul charges d''exploitation'!AU4)</f>
        <v>1623218.4955605911</v>
      </c>
      <c r="AV11" s="538">
        <f ca="1">(SUM('Revenus récurrents'!AV15:AV18)+SUM('Revenus non récurrents'!AV11:AV12))+'Revenus non récurrents'!AV13-('Calcul de la réserve'!AV13+'Calcul du coût du GC'!AV8+'Calcul charges d''exploitation'!AV4)</f>
        <v>1604922.2582557234</v>
      </c>
      <c r="AW11" s="538">
        <f ca="1">(SUM('Revenus récurrents'!AW15:AW18)+SUM('Revenus non récurrents'!AW11:AW12))+'Revenus non récurrents'!AW13-('Calcul de la réserve'!AW13+'Calcul du coût du GC'!AW8+'Calcul charges d''exploitation'!AW4)</f>
        <v>1589326.0209508562</v>
      </c>
      <c r="AX11" s="538">
        <f ca="1">(SUM('Revenus récurrents'!AX15:AX18)+SUM('Revenus non récurrents'!AX11:AX12))+'Revenus non récurrents'!AX13-('Calcul de la réserve'!AX13+'Calcul du coût du GC'!AX8+'Calcul charges d''exploitation'!AX4)</f>
        <v>1570129.7836459889</v>
      </c>
      <c r="AY11" s="538">
        <f ca="1">(SUM('Revenus récurrents'!AY15:AY18)+SUM('Revenus non récurrents'!AY11:AY12))+'Revenus non récurrents'!AY13-('Calcul de la réserve'!AY13+'Calcul du coût du GC'!AY8+'Calcul charges d''exploitation'!AY4)</f>
        <v>1552733.5463411212</v>
      </c>
      <c r="AZ11" s="539">
        <f ca="1">(SUM('Revenus récurrents'!AZ15:AZ18)+SUM('Revenus non récurrents'!AZ11:AZ12))+'Revenus non récurrents'!AZ13-('Calcul de la réserve'!AZ13+'Calcul du coût du GC'!AZ8+'Calcul charges d''exploitation'!AZ4)</f>
        <v>1538037.309036254</v>
      </c>
    </row>
    <row r="12" spans="1:52">
      <c r="A12" s="564"/>
      <c r="B12" s="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52">
      <c r="A13" s="564" t="s">
        <v>129</v>
      </c>
      <c r="B13" s="239" t="s">
        <v>128</v>
      </c>
      <c r="C13" s="231">
        <f ca="1">IFERROR(MAX(IRR('Tableau de bord'!$C$11:C11),0%),0%)</f>
        <v>0</v>
      </c>
      <c r="D13" s="232">
        <f ca="1">IFERROR(MAX(IRR('Tableau de bord'!$C$11:D11),0%),0%)</f>
        <v>0</v>
      </c>
      <c r="E13" s="232">
        <f ca="1">IFERROR(MAX(IRR('Tableau de bord'!$C$11:E11),0%),0%)</f>
        <v>0</v>
      </c>
      <c r="F13" s="232">
        <f ca="1">IFERROR(MAX(IRR('Tableau de bord'!$C$11:F11),0%),0%)</f>
        <v>0</v>
      </c>
      <c r="G13" s="232">
        <f ca="1">IFERROR(MAX(IRR('Tableau de bord'!$C$11:G11),0%),0%)</f>
        <v>0</v>
      </c>
      <c r="H13" s="232">
        <f ca="1">IFERROR(MAX(IRR('Tableau de bord'!$C$11:H11),0%),0%)</f>
        <v>0</v>
      </c>
      <c r="I13" s="232">
        <f ca="1">IFERROR(MAX(IRR('Tableau de bord'!$C$11:I11),0%),0%)</f>
        <v>0</v>
      </c>
      <c r="J13" s="232">
        <f ca="1">IFERROR(MAX(IRR('Tableau de bord'!$C$11:J11),0%),0%)</f>
        <v>0</v>
      </c>
      <c r="K13" s="232">
        <f ca="1">IFERROR(MAX(IRR('Tableau de bord'!$C$11:K11),0%),0%)</f>
        <v>0</v>
      </c>
      <c r="L13" s="232">
        <f ca="1">IFERROR(MAX(IRR('Tableau de bord'!$C$11:L11),0%),0%)</f>
        <v>0</v>
      </c>
      <c r="M13" s="232">
        <f ca="1">IFERROR(MAX(IRR('Tableau de bord'!$C$11:M11),0%),0%)</f>
        <v>2.4323760370064784E-2</v>
      </c>
      <c r="N13" s="232">
        <f ca="1">IFERROR(MAX(IRR('Tableau de bord'!$C$11:N11),0%),0%)</f>
        <v>3.3418010842421575E-2</v>
      </c>
      <c r="O13" s="232">
        <f ca="1">IFERROR(MAX(IRR('Tableau de bord'!$C$11:O11),0%),0%)</f>
        <v>4.1416894362471979E-2</v>
      </c>
      <c r="P13" s="232">
        <f ca="1">IFERROR(MAX(IRR('Tableau de bord'!$C$11:P11),0%),0%)</f>
        <v>6.8721897327856274E-2</v>
      </c>
      <c r="Q13" s="232">
        <f ca="1">IFERROR(MAX(IRR('Tableau de bord'!$C$11:Q11),0%),0%)</f>
        <v>7.2970567981884837E-2</v>
      </c>
      <c r="R13" s="232">
        <f ca="1">IFERROR(MAX(IRR('Tableau de bord'!$C$11:R11),0%),0%)</f>
        <v>7.6477934705077688E-2</v>
      </c>
      <c r="S13" s="232">
        <f ca="1">IFERROR(MAX(IRR('Tableau de bord'!$C$11:S11),0%),0%)</f>
        <v>7.9413822894449426E-2</v>
      </c>
      <c r="T13" s="232">
        <f ca="1">IFERROR(MAX(IRR('Tableau de bord'!$C$11:T11),0%),0%)</f>
        <v>8.1863148851982981E-2</v>
      </c>
      <c r="U13" s="232">
        <f ca="1">IFERROR(MAX(IRR('Tableau de bord'!$C$11:U11),0%),0%)</f>
        <v>8.3917873302867596E-2</v>
      </c>
      <c r="V13" s="232">
        <f ca="1">IFERROR(MAX(IRR('Tableau de bord'!$C$11:V11),0%),0%)</f>
        <v>8.566344380053148E-2</v>
      </c>
      <c r="W13" s="232">
        <f ca="1">IFERROR(MAX(IRR('Tableau de bord'!$C$11:W11),0%),0%)</f>
        <v>8.9809901908838308E-2</v>
      </c>
      <c r="X13" s="232">
        <f ca="1">IFERROR(MAX(IRR('Tableau de bord'!$C$11:X11),0%),0%)</f>
        <v>9.3291628064859466E-2</v>
      </c>
      <c r="Y13" s="232">
        <f ca="1">IFERROR(MAX(IRR('Tableau de bord'!$C$11:Y11),0%),0%)</f>
        <v>9.6207477865951185E-2</v>
      </c>
      <c r="Z13" s="232">
        <f ca="1">IFERROR(MAX(IRR('Tableau de bord'!$C$11:Z11),0%),0%)</f>
        <v>9.8650048950598146E-2</v>
      </c>
      <c r="AA13" s="232">
        <f ca="1">IFERROR(MAX(IRR('Tableau de bord'!$C$11:AA11),0%),0%)</f>
        <v>0.10071068159331031</v>
      </c>
      <c r="AB13" s="232">
        <f ca="1">IFERROR(MAX(IRR('Tableau de bord'!$C$11:AB11),0%),0%)</f>
        <v>0.10245453028983587</v>
      </c>
      <c r="AC13" s="232">
        <f ca="1">IFERROR(MAX(IRR('Tableau de bord'!$C$11:AC11),0%),0%)</f>
        <v>0.10394663986634267</v>
      </c>
      <c r="AD13" s="232">
        <f ca="1">IFERROR(MAX(IRR('Tableau de bord'!$C$11:AD11),0%),0%)</f>
        <v>0.105225682460792</v>
      </c>
      <c r="AE13" s="232">
        <f ca="1">IFERROR(MAX(IRR('Tableau de bord'!$C$11:AE11),0%),0%)</f>
        <v>0.10632679488662999</v>
      </c>
      <c r="AF13" s="232">
        <f ca="1">IFERROR(MAX(IRR('Tableau de bord'!$C$11:AF11),0%),0%)</f>
        <v>0.10727890363904846</v>
      </c>
      <c r="AG13" s="232">
        <f ca="1">IFERROR(MAX(IRR('Tableau de bord'!$C$11:AG11),0%),0%)</f>
        <v>0.10810432313387297</v>
      </c>
      <c r="AH13" s="232">
        <f ca="1">IFERROR(MAX(IRR('Tableau de bord'!$C$11:AH11),0%),0%)</f>
        <v>0.10882159031141581</v>
      </c>
      <c r="AI13" s="232">
        <f ca="1">IFERROR(MAX(IRR('Tableau de bord'!$C$11:AI11),0%),0%)</f>
        <v>0.10944619304732717</v>
      </c>
      <c r="AJ13" s="232">
        <f ca="1">IFERROR(MAX(IRR('Tableau de bord'!$C$11:AJ11),0%),0%)</f>
        <v>0.10999113935164884</v>
      </c>
      <c r="AK13" s="232">
        <f ca="1">IFERROR(MAX(IRR('Tableau de bord'!$C$11:AK11),0%),0%)</f>
        <v>0.11046740637254326</v>
      </c>
      <c r="AL13" s="232">
        <f ca="1">IFERROR(MAX(IRR('Tableau de bord'!$C$11:AL11),0%),0%)</f>
        <v>0.11088429762344809</v>
      </c>
      <c r="AM13" s="232">
        <f ca="1">IFERROR(MAX(IRR('Tableau de bord'!$C$11:AM11),0%),0%)</f>
        <v>0.11124972941316691</v>
      </c>
      <c r="AN13" s="232">
        <f ca="1">IFERROR(MAX(IRR('Tableau de bord'!$C$11:AN11),0%),0%)</f>
        <v>0.11157046215382227</v>
      </c>
      <c r="AO13" s="232">
        <f ca="1">IFERROR(MAX(IRR('Tableau de bord'!$C$11:AO11),0%),0%)</f>
        <v>0.1118522883860853</v>
      </c>
      <c r="AP13" s="232">
        <f ca="1">IFERROR(MAX(IRR('Tableau de bord'!$C$11:AP11),0%),0%)</f>
        <v>0.11210123898713698</v>
      </c>
      <c r="AQ13" s="232">
        <f ca="1">IFERROR(MAX(IRR('Tableau de bord'!$C$11:AQ11),0%),0%)</f>
        <v>0.11232100762693098</v>
      </c>
      <c r="AR13" s="232">
        <f ca="1">IFERROR(MAX(IRR('Tableau de bord'!$C$11:AR11),0%),0%)</f>
        <v>0.11251487224296852</v>
      </c>
      <c r="AS13" s="232">
        <f ca="1">IFERROR(MAX(IRR('Tableau de bord'!$C$11:AS11),0%),0%)</f>
        <v>0.11268592841036917</v>
      </c>
      <c r="AT13" s="232">
        <f ca="1">IFERROR(MAX(IRR('Tableau de bord'!$C$11:AT11),0%),0%)</f>
        <v>0.11283680199840296</v>
      </c>
      <c r="AU13" s="232">
        <f ca="1">IFERROR(MAX(IRR('Tableau de bord'!$C$11:AU11),0%),0%)</f>
        <v>0.11296988490986148</v>
      </c>
      <c r="AV13" s="232">
        <f ca="1">IFERROR(MAX(IRR('Tableau de bord'!$C$11:AV11),0%),0%)</f>
        <v>0.11308720967880581</v>
      </c>
      <c r="AW13" s="232">
        <f ca="1">IFERROR(MAX(IRR('Tableau de bord'!$C$11:AW11),0%),0%)</f>
        <v>0.11319086773433384</v>
      </c>
      <c r="AX13" s="232">
        <f ca="1">IFERROR(MAX(IRR('Tableau de bord'!$C$11:AX11),0%),0%)</f>
        <v>0.11328228355693892</v>
      </c>
      <c r="AY13" s="232">
        <f ca="1">IFERROR(MAX(IRR('Tableau de bord'!$C$11:AY11),0%),0%)</f>
        <v>0.11336302572381007</v>
      </c>
      <c r="AZ13" s="233">
        <f ca="1">IFERROR(MAX(IRR('Tableau de bord'!$C$11:AZ11),0%),0%)</f>
        <v>0.11343448967623471</v>
      </c>
    </row>
    <row r="14" spans="1:52">
      <c r="A14" s="99"/>
      <c r="B14" s="7"/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52">
      <c r="A15" s="99"/>
      <c r="C15" s="17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52">
      <c r="A16" s="588" t="s">
        <v>185</v>
      </c>
      <c r="C16" s="17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52">
      <c r="A17" s="99"/>
      <c r="C17" s="17"/>
      <c r="D17" s="18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52" s="27" customFormat="1">
      <c r="A18" s="568" t="s">
        <v>112</v>
      </c>
      <c r="B18" s="98" t="s">
        <v>138</v>
      </c>
      <c r="C18" s="132">
        <f t="shared" ref="C18:L18" si="0">INDEX(Lignes_programmées,MATCH($B$18,$B$19:$B$21,0),C7+1)</f>
        <v>8000</v>
      </c>
      <c r="D18" s="133">
        <f t="shared" si="0"/>
        <v>13000</v>
      </c>
      <c r="E18" s="133">
        <f t="shared" si="0"/>
        <v>15000</v>
      </c>
      <c r="F18" s="133">
        <f t="shared" si="0"/>
        <v>16000</v>
      </c>
      <c r="G18" s="133">
        <f t="shared" si="0"/>
        <v>15000</v>
      </c>
      <c r="H18" s="133">
        <f t="shared" si="0"/>
        <v>13000</v>
      </c>
      <c r="I18" s="133">
        <f t="shared" si="0"/>
        <v>9000</v>
      </c>
      <c r="J18" s="133">
        <f t="shared" si="0"/>
        <v>8000</v>
      </c>
      <c r="K18" s="133">
        <f t="shared" si="0"/>
        <v>3000</v>
      </c>
      <c r="L18" s="133">
        <f t="shared" si="0"/>
        <v>0</v>
      </c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</row>
    <row r="19" spans="1:52" s="27" customFormat="1" outlineLevel="1">
      <c r="A19" s="568"/>
      <c r="B19" s="28" t="s">
        <v>138</v>
      </c>
      <c r="C19" s="29">
        <v>8000</v>
      </c>
      <c r="D19" s="30">
        <v>13000</v>
      </c>
      <c r="E19" s="30">
        <v>15000</v>
      </c>
      <c r="F19" s="30">
        <v>16000</v>
      </c>
      <c r="G19" s="30">
        <v>15000</v>
      </c>
      <c r="H19" s="30">
        <v>13000</v>
      </c>
      <c r="I19" s="30">
        <v>9000</v>
      </c>
      <c r="J19" s="30">
        <v>8000</v>
      </c>
      <c r="K19" s="30">
        <v>3000</v>
      </c>
      <c r="L19" s="3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2"/>
    </row>
    <row r="20" spans="1:52" s="27" customFormat="1" outlineLevel="1">
      <c r="A20" s="568"/>
      <c r="B20" s="28" t="s">
        <v>139</v>
      </c>
      <c r="C20" s="29">
        <v>3000</v>
      </c>
      <c r="D20" s="30">
        <v>8000</v>
      </c>
      <c r="E20" s="30">
        <v>10000</v>
      </c>
      <c r="F20" s="30">
        <v>13000</v>
      </c>
      <c r="G20" s="30">
        <v>15000</v>
      </c>
      <c r="H20" s="30">
        <v>16000</v>
      </c>
      <c r="I20" s="30">
        <v>13000</v>
      </c>
      <c r="J20" s="30">
        <v>11000</v>
      </c>
      <c r="K20" s="30">
        <v>8000</v>
      </c>
      <c r="L20" s="30">
        <v>3000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2"/>
    </row>
    <row r="21" spans="1:52" s="27" customFormat="1" outlineLevel="1">
      <c r="A21" s="568"/>
      <c r="B21" s="28" t="s">
        <v>136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</row>
    <row r="22" spans="1:52" s="213" customFormat="1">
      <c r="A22" s="569"/>
      <c r="B22" s="216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</row>
    <row r="23" spans="1:52" s="111" customFormat="1">
      <c r="A23" s="569" t="s">
        <v>113</v>
      </c>
      <c r="B23" s="557" t="s">
        <v>138</v>
      </c>
      <c r="C23" s="138">
        <f>INDEX(Vitesse_raccordables,MATCH($B$23,$B$24:$B$26,0),C7+1)</f>
        <v>0.4</v>
      </c>
      <c r="D23" s="139">
        <f>INDEX(Vitesse_raccordables,MATCH($B$23,$B$24:$B$26,0),D7+1)</f>
        <v>0.3</v>
      </c>
      <c r="E23" s="139">
        <f>INDEX(Vitesse_raccordables,MATCH($B$23,$B$24:$B$26,0),E7+1)</f>
        <v>0.15</v>
      </c>
      <c r="F23" s="139">
        <f>INDEX(Vitesse_raccordables,MATCH($B$23,$B$24:$B$26,0),F7+1)</f>
        <v>0.1</v>
      </c>
      <c r="G23" s="139">
        <f>INDEX(Vitesse_raccordables,MATCH($B$23,$B$24:$B$26,0),G7+1)</f>
        <v>0.05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5"/>
    </row>
    <row r="24" spans="1:52" s="111" customFormat="1" outlineLevel="1">
      <c r="A24" s="569"/>
      <c r="B24" s="28" t="s">
        <v>138</v>
      </c>
      <c r="C24" s="112">
        <v>0.4</v>
      </c>
      <c r="D24" s="113">
        <v>0.3</v>
      </c>
      <c r="E24" s="113">
        <v>0.15</v>
      </c>
      <c r="F24" s="113">
        <v>0.1</v>
      </c>
      <c r="G24" s="113">
        <v>0.05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2"/>
    </row>
    <row r="25" spans="1:52" s="111" customFormat="1" outlineLevel="1">
      <c r="A25" s="569"/>
      <c r="B25" s="28" t="s">
        <v>139</v>
      </c>
      <c r="C25" s="112">
        <v>0.2</v>
      </c>
      <c r="D25" s="113">
        <v>0.2</v>
      </c>
      <c r="E25" s="113">
        <v>0.2</v>
      </c>
      <c r="F25" s="113">
        <v>0.2</v>
      </c>
      <c r="G25" s="113">
        <v>0.2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2"/>
    </row>
    <row r="26" spans="1:52" s="111" customFormat="1" outlineLevel="1">
      <c r="A26" s="569"/>
      <c r="B26" s="28" t="s">
        <v>136</v>
      </c>
      <c r="C26" s="112"/>
      <c r="D26" s="113"/>
      <c r="E26" s="113"/>
      <c r="F26" s="113"/>
      <c r="G26" s="113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2"/>
    </row>
    <row r="27" spans="1:52" s="217" customFormat="1">
      <c r="A27" s="569"/>
      <c r="B27" s="216"/>
      <c r="C27" s="212"/>
      <c r="D27" s="212"/>
      <c r="E27" s="212"/>
      <c r="F27" s="212"/>
      <c r="G27" s="212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</row>
    <row r="28" spans="1:52" s="27" customFormat="1">
      <c r="A28" s="568" t="s">
        <v>116</v>
      </c>
      <c r="B28" s="98" t="s">
        <v>140</v>
      </c>
      <c r="C28" s="250">
        <f t="shared" ref="C28:Q28" si="1">INDEX(Lignes_raccordables,MATCH($B$28,$B$29:$B$30,0),C7+1)</f>
        <v>3200</v>
      </c>
      <c r="D28" s="251">
        <f t="shared" si="1"/>
        <v>7600</v>
      </c>
      <c r="E28" s="251">
        <f t="shared" si="1"/>
        <v>11100</v>
      </c>
      <c r="F28" s="251">
        <f t="shared" si="1"/>
        <v>13650</v>
      </c>
      <c r="G28" s="251">
        <f t="shared" si="1"/>
        <v>14750</v>
      </c>
      <c r="H28" s="251">
        <f t="shared" si="1"/>
        <v>14250</v>
      </c>
      <c r="I28" s="251">
        <f t="shared" si="1"/>
        <v>12100</v>
      </c>
      <c r="J28" s="251">
        <f t="shared" si="1"/>
        <v>10150</v>
      </c>
      <c r="K28" s="251">
        <f t="shared" si="1"/>
        <v>7000</v>
      </c>
      <c r="L28" s="251">
        <f t="shared" si="1"/>
        <v>3650</v>
      </c>
      <c r="M28" s="251">
        <f t="shared" si="1"/>
        <v>1700</v>
      </c>
      <c r="N28" s="251">
        <f t="shared" si="1"/>
        <v>700</v>
      </c>
      <c r="O28" s="251">
        <f t="shared" si="1"/>
        <v>150</v>
      </c>
      <c r="P28" s="251">
        <f t="shared" si="1"/>
        <v>0</v>
      </c>
      <c r="Q28" s="251">
        <f t="shared" si="1"/>
        <v>0</v>
      </c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6"/>
    </row>
    <row r="29" spans="1:52" s="27" customFormat="1" outlineLevel="1">
      <c r="A29" s="568"/>
      <c r="B29" s="558" t="s">
        <v>140</v>
      </c>
      <c r="C29" s="247">
        <f>'Calcul hypotèses déploiement'!B15</f>
        <v>3200</v>
      </c>
      <c r="D29" s="248">
        <f>'Calcul hypotèses déploiement'!C15</f>
        <v>7600</v>
      </c>
      <c r="E29" s="248">
        <f>'Calcul hypotèses déploiement'!D15</f>
        <v>11100</v>
      </c>
      <c r="F29" s="248">
        <f>'Calcul hypotèses déploiement'!E15</f>
        <v>13650</v>
      </c>
      <c r="G29" s="248">
        <f>'Calcul hypotèses déploiement'!F15</f>
        <v>14750</v>
      </c>
      <c r="H29" s="248">
        <f>'Calcul hypotèses déploiement'!G15</f>
        <v>14250</v>
      </c>
      <c r="I29" s="248">
        <f>'Calcul hypotèses déploiement'!H15</f>
        <v>12100</v>
      </c>
      <c r="J29" s="248">
        <f>'Calcul hypotèses déploiement'!I15</f>
        <v>10150</v>
      </c>
      <c r="K29" s="248">
        <f>'Calcul hypotèses déploiement'!J15</f>
        <v>7000</v>
      </c>
      <c r="L29" s="248">
        <f>'Calcul hypotèses déploiement'!K15</f>
        <v>3650</v>
      </c>
      <c r="M29" s="248">
        <f>'Calcul hypotèses déploiement'!L15</f>
        <v>1700</v>
      </c>
      <c r="N29" s="248">
        <f>'Calcul hypotèses déploiement'!M15</f>
        <v>700</v>
      </c>
      <c r="O29" s="248">
        <f>'Calcul hypotèses déploiement'!N15</f>
        <v>150</v>
      </c>
      <c r="P29" s="248">
        <f>'Calcul hypotèses déploiement'!O15</f>
        <v>0</v>
      </c>
      <c r="Q29" s="248">
        <f>'Calcul hypotèses déploiement'!P15</f>
        <v>0</v>
      </c>
      <c r="R29" s="249"/>
      <c r="S29" s="249"/>
      <c r="T29" s="249"/>
      <c r="U29" s="249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4"/>
    </row>
    <row r="30" spans="1:52" s="27" customFormat="1" outlineLevel="1">
      <c r="A30" s="568"/>
      <c r="B30" s="43" t="s">
        <v>136</v>
      </c>
      <c r="C30" s="597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3"/>
    </row>
    <row r="31" spans="1:52" s="37" customFormat="1">
      <c r="A31" s="570"/>
      <c r="B31" s="18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</row>
    <row r="32" spans="1:52">
      <c r="A32" s="560" t="s">
        <v>38</v>
      </c>
      <c r="B32" s="9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52">
      <c r="A33" s="570"/>
      <c r="B33" s="9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52">
      <c r="A34" s="570" t="s">
        <v>132</v>
      </c>
      <c r="B34" s="555">
        <v>0.4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52">
      <c r="A35" s="570"/>
      <c r="B35" s="55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52">
      <c r="A36" s="570" t="s">
        <v>83</v>
      </c>
      <c r="B36" s="97" t="s">
        <v>135</v>
      </c>
      <c r="C36" s="125">
        <f>INDEX(Prime_risque_expost,MATCH($B$36,$B$37:$B$38,0),C7+1)</f>
        <v>4.5999999999999999E-2</v>
      </c>
      <c r="D36" s="126">
        <f>INDEX(Prime_risque_expost,MATCH($B$36,$B$37:$B$38,0),D7+1)</f>
        <v>4.5999999999999999E-2</v>
      </c>
      <c r="E36" s="126">
        <f>INDEX(Prime_risque_expost,MATCH($B$36,$B$37:$B$38,0),E7+1)</f>
        <v>4.5999999999999999E-2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8"/>
    </row>
    <row r="37" spans="1:52" outlineLevel="1">
      <c r="A37" s="99"/>
      <c r="B37" s="10" t="s">
        <v>135</v>
      </c>
      <c r="C37" s="121">
        <v>4.5999999999999999E-2</v>
      </c>
      <c r="D37" s="122">
        <v>4.5999999999999999E-2</v>
      </c>
      <c r="E37" s="122">
        <v>4.5999999999999999E-2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4"/>
    </row>
    <row r="38" spans="1:52" outlineLevel="1">
      <c r="A38" s="99"/>
      <c r="B38" s="10" t="s">
        <v>136</v>
      </c>
      <c r="C38" s="15"/>
      <c r="D38" s="16"/>
      <c r="E38" s="16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4"/>
    </row>
    <row r="39" spans="1:52">
      <c r="A39" s="226"/>
      <c r="C39" s="17"/>
      <c r="D39" s="18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1:52">
      <c r="A40" s="561" t="s">
        <v>110</v>
      </c>
      <c r="B40" s="1"/>
      <c r="C40" s="6"/>
      <c r="D40" s="6"/>
      <c r="E40" s="6"/>
      <c r="F40" s="6"/>
      <c r="G40" s="6"/>
      <c r="I40" s="6"/>
      <c r="J40" s="6"/>
      <c r="K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52" ht="13.5" customHeight="1">
      <c r="A41" s="99"/>
      <c r="B41" s="20"/>
      <c r="C41" s="6"/>
      <c r="D41" s="6"/>
      <c r="E41" s="6"/>
      <c r="F41" s="6"/>
      <c r="G41" s="6"/>
      <c r="I41" s="6"/>
      <c r="J41" s="6"/>
      <c r="K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52" s="23" customFormat="1">
      <c r="A42" s="567" t="s">
        <v>81</v>
      </c>
      <c r="B42" s="97" t="s">
        <v>137</v>
      </c>
      <c r="C42" s="129">
        <f t="shared" ref="C42:AH42" ca="1" si="2">INDEX(Coefficient_expost,MATCH($B$42,$B$43:$B$44,0),C7+1)</f>
        <v>1</v>
      </c>
      <c r="D42" s="130">
        <f t="shared" ca="1" si="2"/>
        <v>1.1210580162503534</v>
      </c>
      <c r="E42" s="130">
        <f t="shared" ca="1" si="2"/>
        <v>1.2471638346360345</v>
      </c>
      <c r="F42" s="130">
        <f t="shared" ca="1" si="2"/>
        <v>1.3740457802738204</v>
      </c>
      <c r="G42" s="130">
        <f t="shared" ca="1" si="2"/>
        <v>1.4333087542720564</v>
      </c>
      <c r="H42" s="130">
        <f t="shared" ca="1" si="2"/>
        <v>1.4764717733760253</v>
      </c>
      <c r="I42" s="130">
        <f t="shared" ca="1" si="2"/>
        <v>1.5020597478330207</v>
      </c>
      <c r="J42" s="130">
        <f t="shared" ca="1" si="2"/>
        <v>1.5112620537116042</v>
      </c>
      <c r="K42" s="130">
        <f t="shared" ca="1" si="2"/>
        <v>1.5073693829384929</v>
      </c>
      <c r="L42" s="130">
        <f t="shared" ca="1" si="2"/>
        <v>1.490804748313969</v>
      </c>
      <c r="M42" s="130">
        <f t="shared" ca="1" si="2"/>
        <v>1.4632513551263955</v>
      </c>
      <c r="N42" s="130">
        <f t="shared" ca="1" si="2"/>
        <v>1.4255914405609986</v>
      </c>
      <c r="O42" s="130">
        <f t="shared" ca="1" si="2"/>
        <v>1.3794232998693141</v>
      </c>
      <c r="P42" s="130">
        <f t="shared" ca="1" si="2"/>
        <v>1.3267015448220636</v>
      </c>
      <c r="Q42" s="130">
        <f t="shared" ca="1" si="2"/>
        <v>1.2660314301666338</v>
      </c>
      <c r="R42" s="130">
        <f t="shared" ca="1" si="2"/>
        <v>1.1977761634664439</v>
      </c>
      <c r="S42" s="130">
        <f t="shared" ca="1" si="2"/>
        <v>1.1218677624652438</v>
      </c>
      <c r="T42" s="130">
        <f t="shared" ca="1" si="2"/>
        <v>1.0369922218188041</v>
      </c>
      <c r="U42" s="130">
        <f t="shared" ca="1" si="2"/>
        <v>0.94398683026173091</v>
      </c>
      <c r="V42" s="130">
        <f t="shared" ca="1" si="2"/>
        <v>0.84089415408869839</v>
      </c>
      <c r="W42" s="130">
        <f t="shared" ca="1" si="2"/>
        <v>0.72855235000367535</v>
      </c>
      <c r="X42" s="130">
        <f t="shared" ca="1" si="2"/>
        <v>0.60542103031784844</v>
      </c>
      <c r="Y42" s="130">
        <f t="shared" ca="1" si="2"/>
        <v>0.47125352269529941</v>
      </c>
      <c r="Z42" s="130">
        <f t="shared" ca="1" si="2"/>
        <v>0.4</v>
      </c>
      <c r="AA42" s="130">
        <f t="shared" ca="1" si="2"/>
        <v>0.4</v>
      </c>
      <c r="AB42" s="130">
        <f t="shared" ca="1" si="2"/>
        <v>0.4</v>
      </c>
      <c r="AC42" s="130">
        <f t="shared" ca="1" si="2"/>
        <v>0.4</v>
      </c>
      <c r="AD42" s="130">
        <f t="shared" ca="1" si="2"/>
        <v>0.4</v>
      </c>
      <c r="AE42" s="130">
        <f t="shared" ca="1" si="2"/>
        <v>0.4</v>
      </c>
      <c r="AF42" s="130">
        <f t="shared" ca="1" si="2"/>
        <v>0.4</v>
      </c>
      <c r="AG42" s="130">
        <f t="shared" ca="1" si="2"/>
        <v>0.4</v>
      </c>
      <c r="AH42" s="130">
        <f t="shared" ca="1" si="2"/>
        <v>0.4</v>
      </c>
      <c r="AI42" s="130">
        <f t="shared" ref="AI42:AZ42" ca="1" si="3">INDEX(Coefficient_expost,MATCH($B$42,$B$43:$B$44,0),AI7+1)</f>
        <v>0.4</v>
      </c>
      <c r="AJ42" s="130">
        <f t="shared" ca="1" si="3"/>
        <v>0.4</v>
      </c>
      <c r="AK42" s="130">
        <f t="shared" ca="1" si="3"/>
        <v>0.4</v>
      </c>
      <c r="AL42" s="130">
        <f t="shared" ca="1" si="3"/>
        <v>0.4</v>
      </c>
      <c r="AM42" s="130">
        <f t="shared" ca="1" si="3"/>
        <v>0.4</v>
      </c>
      <c r="AN42" s="130">
        <f t="shared" ca="1" si="3"/>
        <v>0.4</v>
      </c>
      <c r="AO42" s="130">
        <f t="shared" ca="1" si="3"/>
        <v>0.4</v>
      </c>
      <c r="AP42" s="130">
        <f t="shared" ca="1" si="3"/>
        <v>0.4</v>
      </c>
      <c r="AQ42" s="130">
        <f t="shared" ca="1" si="3"/>
        <v>0.4</v>
      </c>
      <c r="AR42" s="130">
        <f t="shared" ca="1" si="3"/>
        <v>0.4</v>
      </c>
      <c r="AS42" s="130">
        <f t="shared" ca="1" si="3"/>
        <v>0.4</v>
      </c>
      <c r="AT42" s="130">
        <f t="shared" ca="1" si="3"/>
        <v>0.4</v>
      </c>
      <c r="AU42" s="130">
        <f t="shared" ca="1" si="3"/>
        <v>0.4</v>
      </c>
      <c r="AV42" s="130">
        <f t="shared" ca="1" si="3"/>
        <v>0.4</v>
      </c>
      <c r="AW42" s="130">
        <f t="shared" ca="1" si="3"/>
        <v>0.4</v>
      </c>
      <c r="AX42" s="130">
        <f t="shared" ca="1" si="3"/>
        <v>0.4</v>
      </c>
      <c r="AY42" s="130">
        <f t="shared" ca="1" si="3"/>
        <v>0.4</v>
      </c>
      <c r="AZ42" s="131">
        <f t="shared" ca="1" si="3"/>
        <v>0.4</v>
      </c>
    </row>
    <row r="43" spans="1:52" s="23" customFormat="1" outlineLevel="1">
      <c r="A43" s="567"/>
      <c r="B43" s="10" t="s">
        <v>137</v>
      </c>
      <c r="C43" s="24">
        <f ca="1">'Calcul du coefficient ex-post'!C20</f>
        <v>1</v>
      </c>
      <c r="D43" s="25">
        <f ca="1">'Calcul du coefficient ex-post'!D20</f>
        <v>1.1210580162503534</v>
      </c>
      <c r="E43" s="25">
        <f ca="1">'Calcul du coefficient ex-post'!E20</f>
        <v>1.2471638346360345</v>
      </c>
      <c r="F43" s="25">
        <f ca="1">'Calcul du coefficient ex-post'!F20</f>
        <v>1.3740457802738204</v>
      </c>
      <c r="G43" s="25">
        <f ca="1">'Calcul du coefficient ex-post'!G20</f>
        <v>1.4333087542720564</v>
      </c>
      <c r="H43" s="25">
        <f ca="1">'Calcul du coefficient ex-post'!H20</f>
        <v>1.4764717733760253</v>
      </c>
      <c r="I43" s="25">
        <f ca="1">'Calcul du coefficient ex-post'!I20</f>
        <v>1.5020597478330207</v>
      </c>
      <c r="J43" s="25">
        <f ca="1">'Calcul du coefficient ex-post'!J20</f>
        <v>1.5112620537116042</v>
      </c>
      <c r="K43" s="25">
        <f ca="1">'Calcul du coefficient ex-post'!K20</f>
        <v>1.5073693829384929</v>
      </c>
      <c r="L43" s="25">
        <f ca="1">'Calcul du coefficient ex-post'!L20</f>
        <v>1.490804748313969</v>
      </c>
      <c r="M43" s="25">
        <f ca="1">'Calcul du coefficient ex-post'!M20</f>
        <v>1.4632513551263955</v>
      </c>
      <c r="N43" s="25">
        <f ca="1">'Calcul du coefficient ex-post'!N20</f>
        <v>1.4255914405609986</v>
      </c>
      <c r="O43" s="25">
        <f ca="1">'Calcul du coefficient ex-post'!O20</f>
        <v>1.3794232998693141</v>
      </c>
      <c r="P43" s="25">
        <f ca="1">'Calcul du coefficient ex-post'!P20</f>
        <v>1.3267015448220636</v>
      </c>
      <c r="Q43" s="25">
        <f ca="1">'Calcul du coefficient ex-post'!Q20</f>
        <v>1.2660314301666338</v>
      </c>
      <c r="R43" s="25">
        <f ca="1">'Calcul du coefficient ex-post'!R20</f>
        <v>1.1977761634664439</v>
      </c>
      <c r="S43" s="25">
        <f ca="1">'Calcul du coefficient ex-post'!S20</f>
        <v>1.1218677624652438</v>
      </c>
      <c r="T43" s="25">
        <f ca="1">'Calcul du coefficient ex-post'!T20</f>
        <v>1.0369922218188041</v>
      </c>
      <c r="U43" s="25">
        <f ca="1">'Calcul du coefficient ex-post'!U20</f>
        <v>0.94398683026173091</v>
      </c>
      <c r="V43" s="25">
        <f ca="1">'Calcul du coefficient ex-post'!V20</f>
        <v>0.84089415408869839</v>
      </c>
      <c r="W43" s="25">
        <f ca="1">'Calcul du coefficient ex-post'!W20</f>
        <v>0.72855235000367535</v>
      </c>
      <c r="X43" s="25">
        <f ca="1">'Calcul du coefficient ex-post'!X20</f>
        <v>0.60542103031784844</v>
      </c>
      <c r="Y43" s="25">
        <f ca="1">'Calcul du coefficient ex-post'!Y20</f>
        <v>0.47125352269529941</v>
      </c>
      <c r="Z43" s="25">
        <f ca="1">'Calcul du coefficient ex-post'!Z20</f>
        <v>0.4</v>
      </c>
      <c r="AA43" s="25">
        <f ca="1">'Calcul du coefficient ex-post'!AA20</f>
        <v>0.4</v>
      </c>
      <c r="AB43" s="25">
        <f ca="1">'Calcul du coefficient ex-post'!AB20</f>
        <v>0.4</v>
      </c>
      <c r="AC43" s="25">
        <f ca="1">'Calcul du coefficient ex-post'!AC20</f>
        <v>0.4</v>
      </c>
      <c r="AD43" s="25">
        <f ca="1">'Calcul du coefficient ex-post'!AD20</f>
        <v>0.4</v>
      </c>
      <c r="AE43" s="25">
        <f ca="1">'Calcul du coefficient ex-post'!AE20</f>
        <v>0.4</v>
      </c>
      <c r="AF43" s="25">
        <f ca="1">'Calcul du coefficient ex-post'!AF20</f>
        <v>0.4</v>
      </c>
      <c r="AG43" s="25">
        <f ca="1">'Calcul du coefficient ex-post'!AG20</f>
        <v>0.4</v>
      </c>
      <c r="AH43" s="25">
        <f ca="1">'Calcul du coefficient ex-post'!AH20</f>
        <v>0.4</v>
      </c>
      <c r="AI43" s="25">
        <f ca="1">'Calcul du coefficient ex-post'!AI20</f>
        <v>0.4</v>
      </c>
      <c r="AJ43" s="25">
        <f ca="1">'Calcul du coefficient ex-post'!AJ20</f>
        <v>0.4</v>
      </c>
      <c r="AK43" s="25">
        <f ca="1">'Calcul du coefficient ex-post'!AK20</f>
        <v>0.4</v>
      </c>
      <c r="AL43" s="25">
        <f ca="1">'Calcul du coefficient ex-post'!AL20</f>
        <v>0.4</v>
      </c>
      <c r="AM43" s="25">
        <f ca="1">'Calcul du coefficient ex-post'!AM20</f>
        <v>0.4</v>
      </c>
      <c r="AN43" s="25">
        <f ca="1">'Calcul du coefficient ex-post'!AN20</f>
        <v>0.4</v>
      </c>
      <c r="AO43" s="25">
        <f ca="1">'Calcul du coefficient ex-post'!AO20</f>
        <v>0.4</v>
      </c>
      <c r="AP43" s="25">
        <f ca="1">'Calcul du coefficient ex-post'!AP20</f>
        <v>0.4</v>
      </c>
      <c r="AQ43" s="25">
        <f ca="1">'Calcul du coefficient ex-post'!AQ20</f>
        <v>0.4</v>
      </c>
      <c r="AR43" s="25">
        <f ca="1">'Calcul du coefficient ex-post'!AR20</f>
        <v>0.4</v>
      </c>
      <c r="AS43" s="25">
        <f ca="1">'Calcul du coefficient ex-post'!AS20</f>
        <v>0.4</v>
      </c>
      <c r="AT43" s="25">
        <f ca="1">'Calcul du coefficient ex-post'!AT20</f>
        <v>0.4</v>
      </c>
      <c r="AU43" s="25">
        <f ca="1">'Calcul du coefficient ex-post'!AU20</f>
        <v>0.4</v>
      </c>
      <c r="AV43" s="25">
        <f ca="1">'Calcul du coefficient ex-post'!AV20</f>
        <v>0.4</v>
      </c>
      <c r="AW43" s="25">
        <f ca="1">'Calcul du coefficient ex-post'!AW20</f>
        <v>0.4</v>
      </c>
      <c r="AX43" s="25">
        <f ca="1">'Calcul du coefficient ex-post'!AX20</f>
        <v>0.4</v>
      </c>
      <c r="AY43" s="25">
        <f ca="1">'Calcul du coefficient ex-post'!AY20</f>
        <v>0.4</v>
      </c>
      <c r="AZ43" s="26">
        <f ca="1">'Calcul du coefficient ex-post'!AZ20</f>
        <v>0.4</v>
      </c>
    </row>
    <row r="44" spans="1:52" s="23" customFormat="1" outlineLevel="1">
      <c r="A44" s="567"/>
      <c r="B44" s="10" t="s">
        <v>136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6"/>
    </row>
    <row r="45" spans="1:52">
      <c r="A45" s="570"/>
      <c r="B45" s="234"/>
      <c r="C45" s="235"/>
      <c r="D45" s="218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</row>
    <row r="46" spans="1:52">
      <c r="A46" s="570" t="s">
        <v>89</v>
      </c>
      <c r="B46" s="97" t="s">
        <v>179</v>
      </c>
      <c r="C46" s="140">
        <f t="shared" ref="C46:AH46" si="4">INDEX(Cofinancement,MATCH($B$46,$B$47:$B$49,0),C7+1)</f>
        <v>0.35000000000000009</v>
      </c>
      <c r="D46" s="141">
        <f t="shared" si="4"/>
        <v>0</v>
      </c>
      <c r="E46" s="141">
        <f t="shared" si="4"/>
        <v>0.05</v>
      </c>
      <c r="F46" s="141">
        <f t="shared" si="4"/>
        <v>0.05</v>
      </c>
      <c r="G46" s="141">
        <f t="shared" si="4"/>
        <v>0</v>
      </c>
      <c r="H46" s="141">
        <f t="shared" si="4"/>
        <v>0.1</v>
      </c>
      <c r="I46" s="141">
        <f t="shared" si="4"/>
        <v>0.05</v>
      </c>
      <c r="J46" s="141">
        <f t="shared" si="4"/>
        <v>0.05</v>
      </c>
      <c r="K46" s="141">
        <f t="shared" si="4"/>
        <v>0.1</v>
      </c>
      <c r="L46" s="141">
        <f t="shared" si="4"/>
        <v>0.05</v>
      </c>
      <c r="M46" s="141">
        <f t="shared" si="4"/>
        <v>0.05</v>
      </c>
      <c r="N46" s="141">
        <f t="shared" si="4"/>
        <v>0</v>
      </c>
      <c r="O46" s="141">
        <f t="shared" si="4"/>
        <v>0</v>
      </c>
      <c r="P46" s="141">
        <f t="shared" si="4"/>
        <v>0.05</v>
      </c>
      <c r="Q46" s="141">
        <f t="shared" si="4"/>
        <v>0</v>
      </c>
      <c r="R46" s="141">
        <f t="shared" si="4"/>
        <v>0</v>
      </c>
      <c r="S46" s="141">
        <f t="shared" si="4"/>
        <v>0</v>
      </c>
      <c r="T46" s="141">
        <f t="shared" si="4"/>
        <v>0</v>
      </c>
      <c r="U46" s="141">
        <f t="shared" si="4"/>
        <v>0</v>
      </c>
      <c r="V46" s="141">
        <f t="shared" si="4"/>
        <v>0</v>
      </c>
      <c r="W46" s="141">
        <f t="shared" si="4"/>
        <v>0</v>
      </c>
      <c r="X46" s="141">
        <f t="shared" si="4"/>
        <v>0</v>
      </c>
      <c r="Y46" s="141">
        <f t="shared" si="4"/>
        <v>0</v>
      </c>
      <c r="Z46" s="141">
        <f t="shared" si="4"/>
        <v>0</v>
      </c>
      <c r="AA46" s="141">
        <f t="shared" si="4"/>
        <v>0</v>
      </c>
      <c r="AB46" s="141">
        <f t="shared" si="4"/>
        <v>0</v>
      </c>
      <c r="AC46" s="141">
        <f t="shared" si="4"/>
        <v>0</v>
      </c>
      <c r="AD46" s="141">
        <f t="shared" si="4"/>
        <v>0</v>
      </c>
      <c r="AE46" s="141">
        <f t="shared" si="4"/>
        <v>0</v>
      </c>
      <c r="AF46" s="141">
        <f t="shared" si="4"/>
        <v>0</v>
      </c>
      <c r="AG46" s="141">
        <f t="shared" si="4"/>
        <v>0</v>
      </c>
      <c r="AH46" s="141">
        <f t="shared" si="4"/>
        <v>0</v>
      </c>
      <c r="AI46" s="141">
        <f t="shared" ref="AI46:AZ46" si="5">INDEX(Cofinancement,MATCH($B$46,$B$47:$B$49,0),AI7+1)</f>
        <v>0</v>
      </c>
      <c r="AJ46" s="141">
        <f t="shared" si="5"/>
        <v>0</v>
      </c>
      <c r="AK46" s="141">
        <f t="shared" si="5"/>
        <v>0</v>
      </c>
      <c r="AL46" s="141">
        <f t="shared" si="5"/>
        <v>0</v>
      </c>
      <c r="AM46" s="141">
        <f t="shared" si="5"/>
        <v>0</v>
      </c>
      <c r="AN46" s="141">
        <f t="shared" si="5"/>
        <v>0</v>
      </c>
      <c r="AO46" s="141">
        <f t="shared" si="5"/>
        <v>0</v>
      </c>
      <c r="AP46" s="141">
        <f t="shared" si="5"/>
        <v>0</v>
      </c>
      <c r="AQ46" s="141">
        <f t="shared" si="5"/>
        <v>0</v>
      </c>
      <c r="AR46" s="141">
        <f t="shared" si="5"/>
        <v>0</v>
      </c>
      <c r="AS46" s="141">
        <f t="shared" si="5"/>
        <v>0</v>
      </c>
      <c r="AT46" s="141">
        <f t="shared" si="5"/>
        <v>0</v>
      </c>
      <c r="AU46" s="141">
        <f t="shared" si="5"/>
        <v>0</v>
      </c>
      <c r="AV46" s="141">
        <f t="shared" si="5"/>
        <v>0</v>
      </c>
      <c r="AW46" s="141">
        <f t="shared" si="5"/>
        <v>0</v>
      </c>
      <c r="AX46" s="141">
        <f t="shared" si="5"/>
        <v>0</v>
      </c>
      <c r="AY46" s="141">
        <f t="shared" si="5"/>
        <v>0</v>
      </c>
      <c r="AZ46" s="142">
        <f t="shared" si="5"/>
        <v>0</v>
      </c>
    </row>
    <row r="47" spans="1:52" outlineLevel="1">
      <c r="A47" s="570"/>
      <c r="B47" s="10" t="s">
        <v>179</v>
      </c>
      <c r="C47" s="15">
        <v>0.35000000000000009</v>
      </c>
      <c r="D47" s="16">
        <v>0</v>
      </c>
      <c r="E47" s="16">
        <v>0.05</v>
      </c>
      <c r="F47" s="16">
        <v>0.05</v>
      </c>
      <c r="G47" s="16">
        <v>0</v>
      </c>
      <c r="H47" s="16">
        <v>0.1</v>
      </c>
      <c r="I47" s="16">
        <v>0.05</v>
      </c>
      <c r="J47" s="16">
        <v>0.05</v>
      </c>
      <c r="K47" s="16">
        <v>0.1</v>
      </c>
      <c r="L47" s="16">
        <v>0.05</v>
      </c>
      <c r="M47" s="16">
        <v>0.05</v>
      </c>
      <c r="N47" s="16">
        <v>0</v>
      </c>
      <c r="O47" s="16">
        <v>0</v>
      </c>
      <c r="P47" s="16">
        <v>0.05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33">
        <v>0</v>
      </c>
    </row>
    <row r="48" spans="1:52" outlineLevel="1">
      <c r="A48" s="570"/>
      <c r="B48" s="10" t="s">
        <v>180</v>
      </c>
      <c r="C48" s="15">
        <v>0</v>
      </c>
      <c r="D48" s="16">
        <v>0</v>
      </c>
      <c r="E48" s="16">
        <v>0</v>
      </c>
      <c r="F48" s="16">
        <v>0.25</v>
      </c>
      <c r="G48" s="16">
        <v>0.05</v>
      </c>
      <c r="H48" s="16">
        <v>0.05</v>
      </c>
      <c r="I48" s="16">
        <v>0.1</v>
      </c>
      <c r="J48" s="16">
        <v>0.05</v>
      </c>
      <c r="K48" s="16">
        <v>0</v>
      </c>
      <c r="L48" s="16">
        <v>0.1</v>
      </c>
      <c r="M48" s="16">
        <v>0</v>
      </c>
      <c r="N48" s="16">
        <v>0.05</v>
      </c>
      <c r="O48" s="16">
        <v>0.05</v>
      </c>
      <c r="P48" s="16">
        <v>0.05</v>
      </c>
      <c r="Q48" s="16">
        <v>0.05</v>
      </c>
      <c r="R48" s="16">
        <v>0</v>
      </c>
      <c r="S48" s="16">
        <v>0</v>
      </c>
      <c r="T48" s="16">
        <v>0.05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33">
        <v>0</v>
      </c>
    </row>
    <row r="49" spans="1:52" outlineLevel="1">
      <c r="A49" s="570"/>
      <c r="B49" s="10" t="s">
        <v>136</v>
      </c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33"/>
    </row>
    <row r="50" spans="1:52">
      <c r="A50" s="57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>
      <c r="A51" s="564" t="s">
        <v>117</v>
      </c>
      <c r="B51" s="536" t="s">
        <v>141</v>
      </c>
      <c r="C51" s="193">
        <v>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</row>
    <row r="52" spans="1:52">
      <c r="A52" s="564"/>
      <c r="B52" s="200"/>
      <c r="C52" s="21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</row>
    <row r="53" spans="1:52" ht="12" customHeight="1">
      <c r="A53" s="570" t="s">
        <v>102</v>
      </c>
      <c r="B53" s="97" t="s">
        <v>142</v>
      </c>
      <c r="C53" s="170">
        <f>INDEX(Prix_programmée,MATCH($B$53,$B$54:$B$55,0),C7+1)</f>
        <v>140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</row>
    <row r="54" spans="1:52" outlineLevel="1">
      <c r="A54" s="570"/>
      <c r="B54" s="39" t="s">
        <v>142</v>
      </c>
      <c r="C54" s="237">
        <f>C95*(1+C51)</f>
        <v>140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</row>
    <row r="55" spans="1:52" outlineLevel="1">
      <c r="A55" s="570"/>
      <c r="B55" s="39" t="s">
        <v>136</v>
      </c>
      <c r="C55" s="23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</row>
    <row r="56" spans="1:52" s="219" customFormat="1">
      <c r="A56" s="571"/>
      <c r="B56" s="234"/>
      <c r="C56" s="236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</row>
    <row r="57" spans="1:52">
      <c r="A57" s="570" t="s">
        <v>84</v>
      </c>
      <c r="B57" s="97" t="s">
        <v>137</v>
      </c>
      <c r="C57" s="170">
        <f>INDEX(Prix_raccordable,MATCH($B$57,$B$58:$B$59,0),C7+1)</f>
        <v>360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52" outlineLevel="1">
      <c r="A58" s="570"/>
      <c r="B58" s="39" t="s">
        <v>137</v>
      </c>
      <c r="C58" s="237">
        <f>C99*(1+C51)</f>
        <v>360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52" outlineLevel="1">
      <c r="A59" s="570"/>
      <c r="B59" s="39" t="s">
        <v>136</v>
      </c>
      <c r="C59" s="23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52">
      <c r="A60" s="570"/>
      <c r="B60" s="39"/>
      <c r="C60" s="589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52">
      <c r="A61" s="570" t="s">
        <v>171</v>
      </c>
      <c r="B61" s="559">
        <v>20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>
      <c r="A62" s="570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>
      <c r="A63" s="570" t="s">
        <v>174</v>
      </c>
      <c r="B63" s="97" t="s">
        <v>144</v>
      </c>
      <c r="C63" s="579">
        <f>INDEX(Prix_renouvellement,MATCH($B$63,$B$64:$B$65,0),C7+1)</f>
        <v>1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outlineLevel="1">
      <c r="A64" s="570"/>
      <c r="B64" s="1" t="s">
        <v>144</v>
      </c>
      <c r="C64" s="608">
        <v>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outlineLevel="1">
      <c r="A65" s="570"/>
      <c r="B65" s="39" t="s">
        <v>136</v>
      </c>
      <c r="C65" s="2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>
      <c r="A66" s="99"/>
      <c r="B66" s="55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>
      <c r="A67" s="561" t="s">
        <v>25</v>
      </c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</row>
    <row r="68" spans="1:52">
      <c r="A68" s="9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</row>
    <row r="69" spans="1:52">
      <c r="A69" s="570" t="s">
        <v>177</v>
      </c>
      <c r="B69" s="199">
        <v>0.9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</row>
    <row r="70" spans="1:52">
      <c r="A70" s="9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</row>
    <row r="71" spans="1:52">
      <c r="A71" s="570" t="s">
        <v>82</v>
      </c>
      <c r="B71" s="97" t="s">
        <v>184</v>
      </c>
      <c r="C71" s="140">
        <f t="shared" ref="C71:AH71" si="6">INDEX(Taux_pénétration,MATCH($B$71,$B$72:$B$75,0),C7+1)</f>
        <v>2.3287816455696202E-2</v>
      </c>
      <c r="D71" s="141">
        <f t="shared" si="6"/>
        <v>6.8325787974683541E-2</v>
      </c>
      <c r="E71" s="141">
        <f t="shared" si="6"/>
        <v>0.13493844936708863</v>
      </c>
      <c r="F71" s="141">
        <f t="shared" si="6"/>
        <v>0.22834949367088608</v>
      </c>
      <c r="G71" s="141">
        <f t="shared" si="6"/>
        <v>0.3201815490506329</v>
      </c>
      <c r="H71" s="141">
        <f t="shared" si="6"/>
        <v>0.41276873259493668</v>
      </c>
      <c r="I71" s="141">
        <f t="shared" si="6"/>
        <v>0.49387738924050634</v>
      </c>
      <c r="J71" s="141">
        <f t="shared" si="6"/>
        <v>0.55469642405063291</v>
      </c>
      <c r="K71" s="141">
        <f t="shared" si="6"/>
        <v>0.60899835901898736</v>
      </c>
      <c r="L71" s="141">
        <f t="shared" si="6"/>
        <v>0.65139578322784808</v>
      </c>
      <c r="M71" s="141">
        <f t="shared" si="6"/>
        <v>0.68600728639240505</v>
      </c>
      <c r="N71" s="141">
        <f t="shared" si="6"/>
        <v>0.71</v>
      </c>
      <c r="O71" s="141">
        <f t="shared" si="6"/>
        <v>0.72237664936835588</v>
      </c>
      <c r="P71" s="141">
        <f t="shared" si="6"/>
        <v>0.73855120464462765</v>
      </c>
      <c r="Q71" s="141">
        <f t="shared" si="6"/>
        <v>0.75030224114249966</v>
      </c>
      <c r="R71" s="141">
        <f t="shared" si="6"/>
        <v>0.75965381351725836</v>
      </c>
      <c r="S71" s="141">
        <f t="shared" si="6"/>
        <v>0.77205735800551212</v>
      </c>
      <c r="T71" s="141">
        <f t="shared" si="6"/>
        <v>0.7775916420363409</v>
      </c>
      <c r="U71" s="141">
        <f t="shared" si="6"/>
        <v>0.78883585002935774</v>
      </c>
      <c r="V71" s="141">
        <f t="shared" si="6"/>
        <v>0.79280852233329346</v>
      </c>
      <c r="W71" s="141">
        <f t="shared" si="6"/>
        <v>0.80026026751359614</v>
      </c>
      <c r="X71" s="141">
        <f t="shared" si="6"/>
        <v>0.8049579331479082</v>
      </c>
      <c r="Y71" s="141">
        <f t="shared" si="6"/>
        <v>0.8049579331479082</v>
      </c>
      <c r="Z71" s="141">
        <f t="shared" si="6"/>
        <v>0.8049579331479082</v>
      </c>
      <c r="AA71" s="141">
        <f t="shared" si="6"/>
        <v>0.8049579331479082</v>
      </c>
      <c r="AB71" s="141">
        <f t="shared" si="6"/>
        <v>0.8049579331479082</v>
      </c>
      <c r="AC71" s="141">
        <f t="shared" si="6"/>
        <v>0.8049579331479082</v>
      </c>
      <c r="AD71" s="141">
        <f t="shared" si="6"/>
        <v>0.8049579331479082</v>
      </c>
      <c r="AE71" s="141">
        <f t="shared" si="6"/>
        <v>0.8049579331479082</v>
      </c>
      <c r="AF71" s="141">
        <f t="shared" si="6"/>
        <v>0.8049579331479082</v>
      </c>
      <c r="AG71" s="141">
        <f t="shared" si="6"/>
        <v>0.8049579331479082</v>
      </c>
      <c r="AH71" s="141">
        <f t="shared" si="6"/>
        <v>0.8049579331479082</v>
      </c>
      <c r="AI71" s="141">
        <f t="shared" ref="AI71:AZ71" si="7">INDEX(Taux_pénétration,MATCH($B$71,$B$72:$B$75,0),AI7+1)</f>
        <v>0.8049579331479082</v>
      </c>
      <c r="AJ71" s="141">
        <f t="shared" si="7"/>
        <v>0.8049579331479082</v>
      </c>
      <c r="AK71" s="141">
        <f t="shared" si="7"/>
        <v>0.8049579331479082</v>
      </c>
      <c r="AL71" s="141">
        <f t="shared" si="7"/>
        <v>0.8049579331479082</v>
      </c>
      <c r="AM71" s="141">
        <f t="shared" si="7"/>
        <v>0.8049579331479082</v>
      </c>
      <c r="AN71" s="141">
        <f t="shared" si="7"/>
        <v>0.8049579331479082</v>
      </c>
      <c r="AO71" s="141">
        <f t="shared" si="7"/>
        <v>0.8049579331479082</v>
      </c>
      <c r="AP71" s="141">
        <f t="shared" si="7"/>
        <v>0.8049579331479082</v>
      </c>
      <c r="AQ71" s="141">
        <f t="shared" si="7"/>
        <v>0.8049579331479082</v>
      </c>
      <c r="AR71" s="141">
        <f t="shared" si="7"/>
        <v>0.8049579331479082</v>
      </c>
      <c r="AS71" s="141">
        <f t="shared" si="7"/>
        <v>0.8049579331479082</v>
      </c>
      <c r="AT71" s="141">
        <f t="shared" si="7"/>
        <v>0.8049579331479082</v>
      </c>
      <c r="AU71" s="141">
        <f t="shared" si="7"/>
        <v>0.8049579331479082</v>
      </c>
      <c r="AV71" s="141">
        <f t="shared" si="7"/>
        <v>0.8049579331479082</v>
      </c>
      <c r="AW71" s="141">
        <f t="shared" si="7"/>
        <v>0.8049579331479082</v>
      </c>
      <c r="AX71" s="141">
        <f t="shared" si="7"/>
        <v>0.8049579331479082</v>
      </c>
      <c r="AY71" s="141">
        <f t="shared" si="7"/>
        <v>0.8049579331479082</v>
      </c>
      <c r="AZ71" s="142">
        <f t="shared" si="7"/>
        <v>0.8049579331479082</v>
      </c>
    </row>
    <row r="72" spans="1:52" outlineLevel="1">
      <c r="A72" s="99"/>
      <c r="B72" s="10" t="s">
        <v>194</v>
      </c>
      <c r="C72" s="15">
        <v>0.11398320704699426</v>
      </c>
      <c r="D72" s="16">
        <v>0.198349769231731</v>
      </c>
      <c r="E72" s="16">
        <v>0.28727708681205999</v>
      </c>
      <c r="F72" s="16">
        <v>0.36319554991696135</v>
      </c>
      <c r="G72" s="16">
        <v>0.44592876348049615</v>
      </c>
      <c r="H72" s="16">
        <v>0.53294349012565823</v>
      </c>
      <c r="I72" s="16">
        <v>0.61305902816009172</v>
      </c>
      <c r="J72" s="16">
        <v>0.65382263683430863</v>
      </c>
      <c r="K72" s="16">
        <v>0.69000322167912231</v>
      </c>
      <c r="L72" s="16">
        <v>0.72237664936835588</v>
      </c>
      <c r="M72" s="16">
        <v>0.73855120464462765</v>
      </c>
      <c r="N72" s="16">
        <v>0.75030224114249966</v>
      </c>
      <c r="O72" s="16">
        <v>0.75965381351725836</v>
      </c>
      <c r="P72" s="16">
        <v>0.77205735800551212</v>
      </c>
      <c r="Q72" s="16">
        <v>0.7775916420363409</v>
      </c>
      <c r="R72" s="16">
        <v>0.78883585002935774</v>
      </c>
      <c r="S72" s="16">
        <v>0.79280852233329346</v>
      </c>
      <c r="T72" s="16">
        <v>0.80026026751359614</v>
      </c>
      <c r="U72" s="16">
        <v>0.8049579331479082</v>
      </c>
      <c r="V72" s="16">
        <v>0.80576362962317571</v>
      </c>
      <c r="W72" s="16">
        <v>0.80995150791125781</v>
      </c>
      <c r="X72" s="16">
        <v>0.8103182720747617</v>
      </c>
      <c r="Y72" s="16">
        <v>0.8103182720747617</v>
      </c>
      <c r="Z72" s="16">
        <v>0.8103182720747617</v>
      </c>
      <c r="AA72" s="16">
        <v>0.8103182720747617</v>
      </c>
      <c r="AB72" s="16">
        <v>0.8103182720747617</v>
      </c>
      <c r="AC72" s="16">
        <v>0.8103182720747617</v>
      </c>
      <c r="AD72" s="16">
        <v>0.8103182720747617</v>
      </c>
      <c r="AE72" s="16">
        <v>0.8103182720747617</v>
      </c>
      <c r="AF72" s="16">
        <v>0.8103182720747617</v>
      </c>
      <c r="AG72" s="16">
        <v>0.8103182720747617</v>
      </c>
      <c r="AH72" s="16">
        <v>0.8103182720747617</v>
      </c>
      <c r="AI72" s="16">
        <v>0.8103182720747617</v>
      </c>
      <c r="AJ72" s="16">
        <v>0.8103182720747617</v>
      </c>
      <c r="AK72" s="16">
        <v>0.8103182720747617</v>
      </c>
      <c r="AL72" s="16">
        <v>0.8103182720747617</v>
      </c>
      <c r="AM72" s="16">
        <v>0.8103182720747617</v>
      </c>
      <c r="AN72" s="16">
        <v>0.8103182720747617</v>
      </c>
      <c r="AO72" s="16">
        <v>0.8103182720747617</v>
      </c>
      <c r="AP72" s="16">
        <v>0.8103182720747617</v>
      </c>
      <c r="AQ72" s="16">
        <v>0.8103182720747617</v>
      </c>
      <c r="AR72" s="16">
        <v>0.8103182720747617</v>
      </c>
      <c r="AS72" s="16">
        <v>0.8103182720747617</v>
      </c>
      <c r="AT72" s="16">
        <v>0.8103182720747617</v>
      </c>
      <c r="AU72" s="16">
        <v>0.8103182720747617</v>
      </c>
      <c r="AV72" s="16">
        <v>0.8103182720747617</v>
      </c>
      <c r="AW72" s="16">
        <v>0.8103182720747617</v>
      </c>
      <c r="AX72" s="16">
        <v>0.8103182720747617</v>
      </c>
      <c r="AY72" s="16">
        <v>0.8103182720747617</v>
      </c>
      <c r="AZ72" s="33">
        <v>0.8103182720747617</v>
      </c>
    </row>
    <row r="73" spans="1:52" outlineLevel="1">
      <c r="A73" s="99"/>
      <c r="B73" s="10" t="s">
        <v>184</v>
      </c>
      <c r="C73" s="15">
        <v>2.3287816455696202E-2</v>
      </c>
      <c r="D73" s="16">
        <v>6.8325787974683541E-2</v>
      </c>
      <c r="E73" s="16">
        <v>0.13493844936708863</v>
      </c>
      <c r="F73" s="16">
        <v>0.22834949367088608</v>
      </c>
      <c r="G73" s="16">
        <v>0.3201815490506329</v>
      </c>
      <c r="H73" s="16">
        <v>0.41276873259493668</v>
      </c>
      <c r="I73" s="16">
        <v>0.49387738924050634</v>
      </c>
      <c r="J73" s="16">
        <v>0.55469642405063291</v>
      </c>
      <c r="K73" s="16">
        <v>0.60899835901898736</v>
      </c>
      <c r="L73" s="16">
        <v>0.65139578322784808</v>
      </c>
      <c r="M73" s="16">
        <v>0.68600728639240505</v>
      </c>
      <c r="N73" s="16">
        <v>0.71</v>
      </c>
      <c r="O73" s="16">
        <v>0.72237664936835588</v>
      </c>
      <c r="P73" s="16">
        <v>0.73855120464462765</v>
      </c>
      <c r="Q73" s="16">
        <v>0.75030224114249966</v>
      </c>
      <c r="R73" s="16">
        <v>0.75965381351725836</v>
      </c>
      <c r="S73" s="16">
        <v>0.77205735800551212</v>
      </c>
      <c r="T73" s="16">
        <v>0.7775916420363409</v>
      </c>
      <c r="U73" s="16">
        <v>0.78883585002935774</v>
      </c>
      <c r="V73" s="16">
        <v>0.79280852233329346</v>
      </c>
      <c r="W73" s="16">
        <v>0.80026026751359614</v>
      </c>
      <c r="X73" s="16">
        <v>0.8049579331479082</v>
      </c>
      <c r="Y73" s="16">
        <v>0.8049579331479082</v>
      </c>
      <c r="Z73" s="16">
        <v>0.8049579331479082</v>
      </c>
      <c r="AA73" s="16">
        <v>0.8049579331479082</v>
      </c>
      <c r="AB73" s="16">
        <v>0.8049579331479082</v>
      </c>
      <c r="AC73" s="16">
        <v>0.8049579331479082</v>
      </c>
      <c r="AD73" s="16">
        <v>0.8049579331479082</v>
      </c>
      <c r="AE73" s="16">
        <v>0.8049579331479082</v>
      </c>
      <c r="AF73" s="16">
        <v>0.8049579331479082</v>
      </c>
      <c r="AG73" s="16">
        <v>0.8049579331479082</v>
      </c>
      <c r="AH73" s="16">
        <v>0.8049579331479082</v>
      </c>
      <c r="AI73" s="16">
        <v>0.8049579331479082</v>
      </c>
      <c r="AJ73" s="16">
        <v>0.8049579331479082</v>
      </c>
      <c r="AK73" s="16">
        <v>0.8049579331479082</v>
      </c>
      <c r="AL73" s="16">
        <v>0.8049579331479082</v>
      </c>
      <c r="AM73" s="16">
        <v>0.8049579331479082</v>
      </c>
      <c r="AN73" s="16">
        <v>0.8049579331479082</v>
      </c>
      <c r="AO73" s="16">
        <v>0.8049579331479082</v>
      </c>
      <c r="AP73" s="16">
        <v>0.8049579331479082</v>
      </c>
      <c r="AQ73" s="16">
        <v>0.8049579331479082</v>
      </c>
      <c r="AR73" s="16">
        <v>0.8049579331479082</v>
      </c>
      <c r="AS73" s="16">
        <v>0.8049579331479082</v>
      </c>
      <c r="AT73" s="16">
        <v>0.8049579331479082</v>
      </c>
      <c r="AU73" s="16">
        <v>0.8049579331479082</v>
      </c>
      <c r="AV73" s="16">
        <v>0.8049579331479082</v>
      </c>
      <c r="AW73" s="16">
        <v>0.8049579331479082</v>
      </c>
      <c r="AX73" s="16">
        <v>0.8049579331479082</v>
      </c>
      <c r="AY73" s="16">
        <v>0.8049579331479082</v>
      </c>
      <c r="AZ73" s="33">
        <v>0.8049579331479082</v>
      </c>
    </row>
    <row r="74" spans="1:52" outlineLevel="1">
      <c r="A74" s="99"/>
      <c r="B74" s="10" t="s">
        <v>191</v>
      </c>
      <c r="C74" s="15">
        <f>C73*0.8</f>
        <v>1.8630253164556961E-2</v>
      </c>
      <c r="D74" s="16">
        <f t="shared" ref="D74:AZ74" si="8">D73*0.8</f>
        <v>5.4660630379746833E-2</v>
      </c>
      <c r="E74" s="16">
        <f t="shared" si="8"/>
        <v>0.1079507594936709</v>
      </c>
      <c r="F74" s="16">
        <f t="shared" si="8"/>
        <v>0.18267959493670888</v>
      </c>
      <c r="G74" s="16">
        <f t="shared" si="8"/>
        <v>0.25614523924050631</v>
      </c>
      <c r="H74" s="16">
        <f t="shared" si="8"/>
        <v>0.33021498607594935</v>
      </c>
      <c r="I74" s="16">
        <f t="shared" si="8"/>
        <v>0.39510191139240508</v>
      </c>
      <c r="J74" s="16">
        <f t="shared" si="8"/>
        <v>0.44375713924050636</v>
      </c>
      <c r="K74" s="16">
        <f t="shared" si="8"/>
        <v>0.48719868721518989</v>
      </c>
      <c r="L74" s="16">
        <f t="shared" si="8"/>
        <v>0.52111662658227853</v>
      </c>
      <c r="M74" s="16">
        <f t="shared" si="8"/>
        <v>0.54880582911392406</v>
      </c>
      <c r="N74" s="16">
        <f t="shared" si="8"/>
        <v>0.56799999999999995</v>
      </c>
      <c r="O74" s="16">
        <f t="shared" si="8"/>
        <v>0.57790131949468471</v>
      </c>
      <c r="P74" s="16">
        <f t="shared" si="8"/>
        <v>0.59084096371570216</v>
      </c>
      <c r="Q74" s="16">
        <f t="shared" si="8"/>
        <v>0.60024179291399982</v>
      </c>
      <c r="R74" s="16">
        <f t="shared" si="8"/>
        <v>0.60772305081380673</v>
      </c>
      <c r="S74" s="16">
        <f t="shared" si="8"/>
        <v>0.61764588640440976</v>
      </c>
      <c r="T74" s="16">
        <f t="shared" si="8"/>
        <v>0.62207331362907281</v>
      </c>
      <c r="U74" s="16">
        <f t="shared" si="8"/>
        <v>0.63106868002348626</v>
      </c>
      <c r="V74" s="16">
        <f t="shared" si="8"/>
        <v>0.63424681786663484</v>
      </c>
      <c r="W74" s="16">
        <f t="shared" si="8"/>
        <v>0.64020821401087691</v>
      </c>
      <c r="X74" s="16">
        <f t="shared" si="8"/>
        <v>0.64396634651832663</v>
      </c>
      <c r="Y74" s="16">
        <f t="shared" si="8"/>
        <v>0.64396634651832663</v>
      </c>
      <c r="Z74" s="16">
        <f t="shared" si="8"/>
        <v>0.64396634651832663</v>
      </c>
      <c r="AA74" s="16">
        <f t="shared" si="8"/>
        <v>0.64396634651832663</v>
      </c>
      <c r="AB74" s="16">
        <f t="shared" si="8"/>
        <v>0.64396634651832663</v>
      </c>
      <c r="AC74" s="16">
        <f t="shared" si="8"/>
        <v>0.64396634651832663</v>
      </c>
      <c r="AD74" s="16">
        <f t="shared" si="8"/>
        <v>0.64396634651832663</v>
      </c>
      <c r="AE74" s="16">
        <f t="shared" si="8"/>
        <v>0.64396634651832663</v>
      </c>
      <c r="AF74" s="16">
        <f t="shared" si="8"/>
        <v>0.64396634651832663</v>
      </c>
      <c r="AG74" s="16">
        <f t="shared" si="8"/>
        <v>0.64396634651832663</v>
      </c>
      <c r="AH74" s="16">
        <f t="shared" si="8"/>
        <v>0.64396634651832663</v>
      </c>
      <c r="AI74" s="16">
        <f t="shared" si="8"/>
        <v>0.64396634651832663</v>
      </c>
      <c r="AJ74" s="16">
        <f t="shared" si="8"/>
        <v>0.64396634651832663</v>
      </c>
      <c r="AK74" s="16">
        <f t="shared" si="8"/>
        <v>0.64396634651832663</v>
      </c>
      <c r="AL74" s="16">
        <f t="shared" si="8"/>
        <v>0.64396634651832663</v>
      </c>
      <c r="AM74" s="16">
        <f t="shared" si="8"/>
        <v>0.64396634651832663</v>
      </c>
      <c r="AN74" s="16">
        <f t="shared" si="8"/>
        <v>0.64396634651832663</v>
      </c>
      <c r="AO74" s="16">
        <f t="shared" si="8"/>
        <v>0.64396634651832663</v>
      </c>
      <c r="AP74" s="16">
        <f t="shared" si="8"/>
        <v>0.64396634651832663</v>
      </c>
      <c r="AQ74" s="16">
        <f t="shared" si="8"/>
        <v>0.64396634651832663</v>
      </c>
      <c r="AR74" s="16">
        <f t="shared" si="8"/>
        <v>0.64396634651832663</v>
      </c>
      <c r="AS74" s="16">
        <f t="shared" si="8"/>
        <v>0.64396634651832663</v>
      </c>
      <c r="AT74" s="16">
        <f t="shared" si="8"/>
        <v>0.64396634651832663</v>
      </c>
      <c r="AU74" s="16">
        <f t="shared" si="8"/>
        <v>0.64396634651832663</v>
      </c>
      <c r="AV74" s="16">
        <f t="shared" si="8"/>
        <v>0.64396634651832663</v>
      </c>
      <c r="AW74" s="16">
        <f t="shared" si="8"/>
        <v>0.64396634651832663</v>
      </c>
      <c r="AX74" s="16">
        <f t="shared" si="8"/>
        <v>0.64396634651832663</v>
      </c>
      <c r="AY74" s="16">
        <f t="shared" si="8"/>
        <v>0.64396634651832663</v>
      </c>
      <c r="AZ74" s="33">
        <f t="shared" si="8"/>
        <v>0.64396634651832663</v>
      </c>
    </row>
    <row r="75" spans="1:52" outlineLevel="1">
      <c r="A75" s="99"/>
      <c r="B75" s="10" t="s">
        <v>136</v>
      </c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6"/>
    </row>
    <row r="76" spans="1:52">
      <c r="A76" s="99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</row>
    <row r="77" spans="1:52" collapsed="1">
      <c r="A77" s="562" t="s">
        <v>26</v>
      </c>
      <c r="B77" s="1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</row>
    <row r="78" spans="1:52">
      <c r="A78" s="99"/>
      <c r="B78" s="38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</row>
    <row r="79" spans="1:52">
      <c r="A79" s="570" t="s">
        <v>109</v>
      </c>
      <c r="B79" s="97" t="s">
        <v>143</v>
      </c>
      <c r="C79" s="125">
        <f t="shared" ref="C79:AH79" si="9">INDEX(CMPC,MATCH($B$79,$B$80:$B$81,0),C7+1)</f>
        <v>9.5000000000000001E-2</v>
      </c>
      <c r="D79" s="126">
        <f t="shared" si="9"/>
        <v>9.5000000000000001E-2</v>
      </c>
      <c r="E79" s="126">
        <f t="shared" si="9"/>
        <v>9.5000000000000001E-2</v>
      </c>
      <c r="F79" s="126">
        <f t="shared" si="9"/>
        <v>9.5000000000000001E-2</v>
      </c>
      <c r="G79" s="126">
        <f t="shared" si="9"/>
        <v>9.5000000000000001E-2</v>
      </c>
      <c r="H79" s="126">
        <f t="shared" si="9"/>
        <v>9.5000000000000001E-2</v>
      </c>
      <c r="I79" s="126">
        <f t="shared" si="9"/>
        <v>9.5000000000000001E-2</v>
      </c>
      <c r="J79" s="126">
        <f t="shared" si="9"/>
        <v>9.5000000000000001E-2</v>
      </c>
      <c r="K79" s="126">
        <f t="shared" si="9"/>
        <v>9.5000000000000001E-2</v>
      </c>
      <c r="L79" s="126">
        <f t="shared" si="9"/>
        <v>9.5000000000000001E-2</v>
      </c>
      <c r="M79" s="126">
        <f t="shared" si="9"/>
        <v>9.5000000000000001E-2</v>
      </c>
      <c r="N79" s="126">
        <f t="shared" si="9"/>
        <v>9.5000000000000001E-2</v>
      </c>
      <c r="O79" s="126">
        <f t="shared" si="9"/>
        <v>9.5000000000000001E-2</v>
      </c>
      <c r="P79" s="126">
        <f t="shared" si="9"/>
        <v>9.5000000000000001E-2</v>
      </c>
      <c r="Q79" s="126">
        <f t="shared" si="9"/>
        <v>9.5000000000000001E-2</v>
      </c>
      <c r="R79" s="126">
        <f t="shared" si="9"/>
        <v>9.5000000000000001E-2</v>
      </c>
      <c r="S79" s="126">
        <f t="shared" si="9"/>
        <v>9.5000000000000001E-2</v>
      </c>
      <c r="T79" s="126">
        <f t="shared" si="9"/>
        <v>9.5000000000000001E-2</v>
      </c>
      <c r="U79" s="126">
        <f t="shared" si="9"/>
        <v>9.5000000000000001E-2</v>
      </c>
      <c r="V79" s="126">
        <f t="shared" si="9"/>
        <v>9.5000000000000001E-2</v>
      </c>
      <c r="W79" s="126">
        <f t="shared" si="9"/>
        <v>9.5000000000000001E-2</v>
      </c>
      <c r="X79" s="126">
        <f t="shared" si="9"/>
        <v>9.5000000000000001E-2</v>
      </c>
      <c r="Y79" s="126">
        <f t="shared" si="9"/>
        <v>9.5000000000000001E-2</v>
      </c>
      <c r="Z79" s="126">
        <f t="shared" si="9"/>
        <v>9.5000000000000001E-2</v>
      </c>
      <c r="AA79" s="126">
        <f t="shared" si="9"/>
        <v>9.5000000000000001E-2</v>
      </c>
      <c r="AB79" s="126">
        <f t="shared" si="9"/>
        <v>9.5000000000000001E-2</v>
      </c>
      <c r="AC79" s="126">
        <f t="shared" si="9"/>
        <v>9.5000000000000001E-2</v>
      </c>
      <c r="AD79" s="126">
        <f t="shared" si="9"/>
        <v>9.5000000000000001E-2</v>
      </c>
      <c r="AE79" s="126">
        <f t="shared" si="9"/>
        <v>9.5000000000000001E-2</v>
      </c>
      <c r="AF79" s="126">
        <f t="shared" si="9"/>
        <v>9.5000000000000001E-2</v>
      </c>
      <c r="AG79" s="126">
        <f t="shared" si="9"/>
        <v>9.5000000000000001E-2</v>
      </c>
      <c r="AH79" s="126">
        <f t="shared" si="9"/>
        <v>9.5000000000000001E-2</v>
      </c>
      <c r="AI79" s="126">
        <f t="shared" ref="AI79:AZ79" si="10">INDEX(CMPC,MATCH($B$79,$B$80:$B$81,0),AI7+1)</f>
        <v>9.5000000000000001E-2</v>
      </c>
      <c r="AJ79" s="126">
        <f t="shared" si="10"/>
        <v>9.5000000000000001E-2</v>
      </c>
      <c r="AK79" s="126">
        <f t="shared" si="10"/>
        <v>9.5000000000000001E-2</v>
      </c>
      <c r="AL79" s="126">
        <f t="shared" si="10"/>
        <v>9.5000000000000001E-2</v>
      </c>
      <c r="AM79" s="126">
        <f t="shared" si="10"/>
        <v>9.5000000000000001E-2</v>
      </c>
      <c r="AN79" s="126">
        <f t="shared" si="10"/>
        <v>9.5000000000000001E-2</v>
      </c>
      <c r="AO79" s="126">
        <f t="shared" si="10"/>
        <v>9.5000000000000001E-2</v>
      </c>
      <c r="AP79" s="126">
        <f t="shared" si="10"/>
        <v>9.5000000000000001E-2</v>
      </c>
      <c r="AQ79" s="126">
        <f t="shared" si="10"/>
        <v>9.5000000000000001E-2</v>
      </c>
      <c r="AR79" s="126">
        <f t="shared" si="10"/>
        <v>9.5000000000000001E-2</v>
      </c>
      <c r="AS79" s="126">
        <f t="shared" si="10"/>
        <v>9.5000000000000001E-2</v>
      </c>
      <c r="AT79" s="126">
        <f t="shared" si="10"/>
        <v>9.5000000000000001E-2</v>
      </c>
      <c r="AU79" s="126">
        <f t="shared" si="10"/>
        <v>9.5000000000000001E-2</v>
      </c>
      <c r="AV79" s="126">
        <f t="shared" si="10"/>
        <v>9.5000000000000001E-2</v>
      </c>
      <c r="AW79" s="126">
        <f t="shared" si="10"/>
        <v>9.5000000000000001E-2</v>
      </c>
      <c r="AX79" s="126">
        <f t="shared" si="10"/>
        <v>9.5000000000000001E-2</v>
      </c>
      <c r="AY79" s="126">
        <f t="shared" si="10"/>
        <v>9.5000000000000001E-2</v>
      </c>
      <c r="AZ79" s="153">
        <f t="shared" si="10"/>
        <v>9.5000000000000001E-2</v>
      </c>
    </row>
    <row r="80" spans="1:52" outlineLevel="1">
      <c r="A80" s="570"/>
      <c r="B80" s="10" t="s">
        <v>143</v>
      </c>
      <c r="C80" s="118">
        <v>9.5000000000000001E-2</v>
      </c>
      <c r="D80" s="119">
        <v>9.5000000000000001E-2</v>
      </c>
      <c r="E80" s="119">
        <v>9.5000000000000001E-2</v>
      </c>
      <c r="F80" s="119">
        <v>9.5000000000000001E-2</v>
      </c>
      <c r="G80" s="119">
        <v>9.5000000000000001E-2</v>
      </c>
      <c r="H80" s="119">
        <v>9.5000000000000001E-2</v>
      </c>
      <c r="I80" s="119">
        <v>9.5000000000000001E-2</v>
      </c>
      <c r="J80" s="119">
        <v>9.5000000000000001E-2</v>
      </c>
      <c r="K80" s="119">
        <v>9.5000000000000001E-2</v>
      </c>
      <c r="L80" s="119">
        <v>9.5000000000000001E-2</v>
      </c>
      <c r="M80" s="119">
        <v>9.5000000000000001E-2</v>
      </c>
      <c r="N80" s="119">
        <v>9.5000000000000001E-2</v>
      </c>
      <c r="O80" s="119">
        <v>9.5000000000000001E-2</v>
      </c>
      <c r="P80" s="119">
        <v>9.5000000000000001E-2</v>
      </c>
      <c r="Q80" s="119">
        <v>9.5000000000000001E-2</v>
      </c>
      <c r="R80" s="119">
        <v>9.5000000000000001E-2</v>
      </c>
      <c r="S80" s="119">
        <v>9.5000000000000001E-2</v>
      </c>
      <c r="T80" s="119">
        <v>9.5000000000000001E-2</v>
      </c>
      <c r="U80" s="119">
        <v>9.5000000000000001E-2</v>
      </c>
      <c r="V80" s="119">
        <v>9.5000000000000001E-2</v>
      </c>
      <c r="W80" s="119">
        <v>9.5000000000000001E-2</v>
      </c>
      <c r="X80" s="119">
        <v>9.5000000000000001E-2</v>
      </c>
      <c r="Y80" s="119">
        <v>9.5000000000000001E-2</v>
      </c>
      <c r="Z80" s="119">
        <v>9.5000000000000001E-2</v>
      </c>
      <c r="AA80" s="119">
        <v>9.5000000000000001E-2</v>
      </c>
      <c r="AB80" s="119">
        <v>9.5000000000000001E-2</v>
      </c>
      <c r="AC80" s="119">
        <v>9.5000000000000001E-2</v>
      </c>
      <c r="AD80" s="119">
        <v>9.5000000000000001E-2</v>
      </c>
      <c r="AE80" s="119">
        <v>9.5000000000000001E-2</v>
      </c>
      <c r="AF80" s="119">
        <v>9.5000000000000001E-2</v>
      </c>
      <c r="AG80" s="119">
        <v>9.5000000000000001E-2</v>
      </c>
      <c r="AH80" s="119">
        <v>9.5000000000000001E-2</v>
      </c>
      <c r="AI80" s="119">
        <v>9.5000000000000001E-2</v>
      </c>
      <c r="AJ80" s="119">
        <v>9.5000000000000001E-2</v>
      </c>
      <c r="AK80" s="119">
        <v>9.5000000000000001E-2</v>
      </c>
      <c r="AL80" s="119">
        <v>9.5000000000000001E-2</v>
      </c>
      <c r="AM80" s="119">
        <v>9.5000000000000001E-2</v>
      </c>
      <c r="AN80" s="119">
        <v>9.5000000000000001E-2</v>
      </c>
      <c r="AO80" s="119">
        <v>9.5000000000000001E-2</v>
      </c>
      <c r="AP80" s="119">
        <v>9.5000000000000001E-2</v>
      </c>
      <c r="AQ80" s="119">
        <v>9.5000000000000001E-2</v>
      </c>
      <c r="AR80" s="119">
        <v>9.5000000000000001E-2</v>
      </c>
      <c r="AS80" s="119">
        <v>9.5000000000000001E-2</v>
      </c>
      <c r="AT80" s="119">
        <v>9.5000000000000001E-2</v>
      </c>
      <c r="AU80" s="119">
        <v>9.5000000000000001E-2</v>
      </c>
      <c r="AV80" s="119">
        <v>9.5000000000000001E-2</v>
      </c>
      <c r="AW80" s="119">
        <v>9.5000000000000001E-2</v>
      </c>
      <c r="AX80" s="119">
        <v>9.5000000000000001E-2</v>
      </c>
      <c r="AY80" s="119">
        <v>9.5000000000000001E-2</v>
      </c>
      <c r="AZ80" s="120">
        <v>9.5000000000000001E-2</v>
      </c>
    </row>
    <row r="81" spans="1:53" outlineLevel="1">
      <c r="A81" s="570"/>
      <c r="B81" s="10" t="s">
        <v>136</v>
      </c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33"/>
    </row>
    <row r="82" spans="1:53" s="37" customFormat="1">
      <c r="A82" s="570"/>
      <c r="B82" s="18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</row>
    <row r="83" spans="1:53">
      <c r="A83" s="570" t="s">
        <v>125</v>
      </c>
      <c r="B83" s="97" t="s">
        <v>144</v>
      </c>
      <c r="C83" s="125">
        <f t="shared" ref="C83:AH83" si="11">INDEX(Prime_risque_cofi,MATCH($B$83,$B$84:$B$85,0),C7+1)</f>
        <v>0.02</v>
      </c>
      <c r="D83" s="126">
        <f t="shared" si="11"/>
        <v>0.02</v>
      </c>
      <c r="E83" s="126">
        <f t="shared" si="11"/>
        <v>0.02</v>
      </c>
      <c r="F83" s="126">
        <f t="shared" si="11"/>
        <v>0.02</v>
      </c>
      <c r="G83" s="126">
        <f t="shared" si="11"/>
        <v>0.02</v>
      </c>
      <c r="H83" s="126">
        <f t="shared" si="11"/>
        <v>0.02</v>
      </c>
      <c r="I83" s="126">
        <f t="shared" si="11"/>
        <v>0.02</v>
      </c>
      <c r="J83" s="126">
        <f t="shared" si="11"/>
        <v>0.02</v>
      </c>
      <c r="K83" s="126">
        <f t="shared" si="11"/>
        <v>0.02</v>
      </c>
      <c r="L83" s="126">
        <f t="shared" si="11"/>
        <v>0.02</v>
      </c>
      <c r="M83" s="126">
        <f t="shared" si="11"/>
        <v>0.02</v>
      </c>
      <c r="N83" s="126">
        <f t="shared" si="11"/>
        <v>0.02</v>
      </c>
      <c r="O83" s="126">
        <f t="shared" si="11"/>
        <v>0.02</v>
      </c>
      <c r="P83" s="126">
        <f t="shared" si="11"/>
        <v>0.02</v>
      </c>
      <c r="Q83" s="126">
        <f t="shared" si="11"/>
        <v>0.02</v>
      </c>
      <c r="R83" s="126">
        <f t="shared" si="11"/>
        <v>0.02</v>
      </c>
      <c r="S83" s="126">
        <f t="shared" si="11"/>
        <v>0.02</v>
      </c>
      <c r="T83" s="126">
        <f t="shared" si="11"/>
        <v>0.02</v>
      </c>
      <c r="U83" s="126">
        <f t="shared" si="11"/>
        <v>0.02</v>
      </c>
      <c r="V83" s="126">
        <f t="shared" si="11"/>
        <v>0.02</v>
      </c>
      <c r="W83" s="126">
        <f t="shared" si="11"/>
        <v>0.02</v>
      </c>
      <c r="X83" s="126">
        <f t="shared" si="11"/>
        <v>0.02</v>
      </c>
      <c r="Y83" s="126">
        <f t="shared" si="11"/>
        <v>0.02</v>
      </c>
      <c r="Z83" s="126">
        <f t="shared" si="11"/>
        <v>0.02</v>
      </c>
      <c r="AA83" s="126">
        <f t="shared" si="11"/>
        <v>0.02</v>
      </c>
      <c r="AB83" s="126">
        <f t="shared" si="11"/>
        <v>0.02</v>
      </c>
      <c r="AC83" s="126">
        <f t="shared" si="11"/>
        <v>0.02</v>
      </c>
      <c r="AD83" s="126">
        <f t="shared" si="11"/>
        <v>0.02</v>
      </c>
      <c r="AE83" s="126">
        <f t="shared" si="11"/>
        <v>0.02</v>
      </c>
      <c r="AF83" s="126">
        <f t="shared" si="11"/>
        <v>0.02</v>
      </c>
      <c r="AG83" s="126">
        <f t="shared" si="11"/>
        <v>0.02</v>
      </c>
      <c r="AH83" s="126">
        <f t="shared" si="11"/>
        <v>0.02</v>
      </c>
      <c r="AI83" s="126">
        <f t="shared" ref="AI83:AZ83" si="12">INDEX(Prime_risque_cofi,MATCH($B$83,$B$84:$B$85,0),AI7+1)</f>
        <v>0.02</v>
      </c>
      <c r="AJ83" s="126">
        <f t="shared" si="12"/>
        <v>0.02</v>
      </c>
      <c r="AK83" s="126">
        <f t="shared" si="12"/>
        <v>0.02</v>
      </c>
      <c r="AL83" s="126">
        <f t="shared" si="12"/>
        <v>0.02</v>
      </c>
      <c r="AM83" s="126">
        <f t="shared" si="12"/>
        <v>0.02</v>
      </c>
      <c r="AN83" s="126">
        <f t="shared" si="12"/>
        <v>0.02</v>
      </c>
      <c r="AO83" s="126">
        <f t="shared" si="12"/>
        <v>0.02</v>
      </c>
      <c r="AP83" s="126">
        <f t="shared" si="12"/>
        <v>0.02</v>
      </c>
      <c r="AQ83" s="126">
        <f t="shared" si="12"/>
        <v>0.02</v>
      </c>
      <c r="AR83" s="126">
        <f t="shared" si="12"/>
        <v>0.02</v>
      </c>
      <c r="AS83" s="126">
        <f t="shared" si="12"/>
        <v>0.02</v>
      </c>
      <c r="AT83" s="126">
        <f t="shared" si="12"/>
        <v>0.02</v>
      </c>
      <c r="AU83" s="126">
        <f t="shared" si="12"/>
        <v>0.02</v>
      </c>
      <c r="AV83" s="126">
        <f t="shared" si="12"/>
        <v>0.02</v>
      </c>
      <c r="AW83" s="126">
        <f t="shared" si="12"/>
        <v>0.02</v>
      </c>
      <c r="AX83" s="126">
        <f t="shared" si="12"/>
        <v>0.02</v>
      </c>
      <c r="AY83" s="126">
        <f t="shared" si="12"/>
        <v>0.02</v>
      </c>
      <c r="AZ83" s="153">
        <f t="shared" si="12"/>
        <v>0.02</v>
      </c>
    </row>
    <row r="84" spans="1:53" s="40" customFormat="1" outlineLevel="1">
      <c r="A84" s="570"/>
      <c r="B84" s="39" t="s">
        <v>144</v>
      </c>
      <c r="C84" s="15">
        <v>0.02</v>
      </c>
      <c r="D84" s="16">
        <v>0.02</v>
      </c>
      <c r="E84" s="16">
        <v>0.02</v>
      </c>
      <c r="F84" s="16">
        <v>0.02</v>
      </c>
      <c r="G84" s="16">
        <v>0.02</v>
      </c>
      <c r="H84" s="16">
        <v>0.02</v>
      </c>
      <c r="I84" s="16">
        <v>0.02</v>
      </c>
      <c r="J84" s="16">
        <v>0.02</v>
      </c>
      <c r="K84" s="16">
        <v>0.02</v>
      </c>
      <c r="L84" s="16">
        <v>0.02</v>
      </c>
      <c r="M84" s="16">
        <v>0.02</v>
      </c>
      <c r="N84" s="16">
        <v>0.02</v>
      </c>
      <c r="O84" s="16">
        <v>0.02</v>
      </c>
      <c r="P84" s="16">
        <v>0.02</v>
      </c>
      <c r="Q84" s="16">
        <v>0.02</v>
      </c>
      <c r="R84" s="16">
        <v>0.02</v>
      </c>
      <c r="S84" s="16">
        <v>0.02</v>
      </c>
      <c r="T84" s="16">
        <v>0.02</v>
      </c>
      <c r="U84" s="16">
        <v>0.02</v>
      </c>
      <c r="V84" s="16">
        <v>0.02</v>
      </c>
      <c r="W84" s="16">
        <v>0.02</v>
      </c>
      <c r="X84" s="16">
        <v>0.02</v>
      </c>
      <c r="Y84" s="16">
        <v>0.02</v>
      </c>
      <c r="Z84" s="16">
        <v>0.02</v>
      </c>
      <c r="AA84" s="16">
        <v>0.02</v>
      </c>
      <c r="AB84" s="16">
        <v>0.02</v>
      </c>
      <c r="AC84" s="16">
        <v>0.02</v>
      </c>
      <c r="AD84" s="16">
        <v>0.02</v>
      </c>
      <c r="AE84" s="16">
        <v>0.02</v>
      </c>
      <c r="AF84" s="16">
        <v>0.02</v>
      </c>
      <c r="AG84" s="16">
        <v>0.02</v>
      </c>
      <c r="AH84" s="16">
        <v>0.02</v>
      </c>
      <c r="AI84" s="16">
        <v>0.02</v>
      </c>
      <c r="AJ84" s="16">
        <v>0.02</v>
      </c>
      <c r="AK84" s="16">
        <v>0.02</v>
      </c>
      <c r="AL84" s="16">
        <v>0.02</v>
      </c>
      <c r="AM84" s="16">
        <v>0.02</v>
      </c>
      <c r="AN84" s="16">
        <v>0.02</v>
      </c>
      <c r="AO84" s="16">
        <v>0.02</v>
      </c>
      <c r="AP84" s="16">
        <v>0.02</v>
      </c>
      <c r="AQ84" s="16">
        <v>0.02</v>
      </c>
      <c r="AR84" s="16">
        <v>0.02</v>
      </c>
      <c r="AS84" s="16">
        <v>0.02</v>
      </c>
      <c r="AT84" s="16">
        <v>0.02</v>
      </c>
      <c r="AU84" s="16">
        <v>0.02</v>
      </c>
      <c r="AV84" s="16">
        <v>0.02</v>
      </c>
      <c r="AW84" s="16">
        <v>0.02</v>
      </c>
      <c r="AX84" s="16">
        <v>0.02</v>
      </c>
      <c r="AY84" s="16">
        <v>0.02</v>
      </c>
      <c r="AZ84" s="33">
        <v>0.02</v>
      </c>
    </row>
    <row r="85" spans="1:53" s="40" customFormat="1" outlineLevel="1">
      <c r="A85" s="570"/>
      <c r="B85" s="10" t="s">
        <v>136</v>
      </c>
      <c r="C85" s="58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33"/>
    </row>
    <row r="86" spans="1:53" s="215" customFormat="1">
      <c r="A86" s="570"/>
      <c r="B86" s="181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</row>
    <row r="87" spans="1:53" s="40" customFormat="1" ht="14.25" customHeight="1">
      <c r="A87" s="570" t="s">
        <v>126</v>
      </c>
      <c r="B87" s="97" t="s">
        <v>144</v>
      </c>
      <c r="C87" s="125">
        <f t="shared" ref="C87:AH87" si="13">INDEX(Prime_risque_loc,MATCH($B$87,$B$88:$B$89,0),C7+1)</f>
        <v>0.04</v>
      </c>
      <c r="D87" s="126">
        <f t="shared" si="13"/>
        <v>0.04</v>
      </c>
      <c r="E87" s="126">
        <f t="shared" si="13"/>
        <v>0.04</v>
      </c>
      <c r="F87" s="126">
        <f t="shared" si="13"/>
        <v>0.04</v>
      </c>
      <c r="G87" s="126">
        <f t="shared" si="13"/>
        <v>0.04</v>
      </c>
      <c r="H87" s="126">
        <f t="shared" si="13"/>
        <v>0.04</v>
      </c>
      <c r="I87" s="126">
        <f t="shared" si="13"/>
        <v>0.04</v>
      </c>
      <c r="J87" s="126">
        <f t="shared" si="13"/>
        <v>0.04</v>
      </c>
      <c r="K87" s="126">
        <f t="shared" si="13"/>
        <v>0.04</v>
      </c>
      <c r="L87" s="126">
        <f t="shared" si="13"/>
        <v>0.04</v>
      </c>
      <c r="M87" s="126">
        <f t="shared" si="13"/>
        <v>0.04</v>
      </c>
      <c r="N87" s="126">
        <f t="shared" si="13"/>
        <v>0.04</v>
      </c>
      <c r="O87" s="126">
        <f t="shared" si="13"/>
        <v>0.04</v>
      </c>
      <c r="P87" s="126">
        <f t="shared" si="13"/>
        <v>0.04</v>
      </c>
      <c r="Q87" s="126">
        <f t="shared" si="13"/>
        <v>0.04</v>
      </c>
      <c r="R87" s="126">
        <f t="shared" si="13"/>
        <v>0.04</v>
      </c>
      <c r="S87" s="126">
        <f t="shared" si="13"/>
        <v>0.04</v>
      </c>
      <c r="T87" s="126">
        <f t="shared" si="13"/>
        <v>0.04</v>
      </c>
      <c r="U87" s="126">
        <f t="shared" si="13"/>
        <v>0.04</v>
      </c>
      <c r="V87" s="126">
        <f t="shared" si="13"/>
        <v>0.04</v>
      </c>
      <c r="W87" s="126">
        <f t="shared" si="13"/>
        <v>0.04</v>
      </c>
      <c r="X87" s="126">
        <f t="shared" si="13"/>
        <v>0.04</v>
      </c>
      <c r="Y87" s="126">
        <f t="shared" si="13"/>
        <v>0.04</v>
      </c>
      <c r="Z87" s="126">
        <f t="shared" si="13"/>
        <v>0.04</v>
      </c>
      <c r="AA87" s="126">
        <f t="shared" si="13"/>
        <v>0.04</v>
      </c>
      <c r="AB87" s="126">
        <f t="shared" si="13"/>
        <v>0.04</v>
      </c>
      <c r="AC87" s="126">
        <f t="shared" si="13"/>
        <v>0.04</v>
      </c>
      <c r="AD87" s="126">
        <f t="shared" si="13"/>
        <v>0.04</v>
      </c>
      <c r="AE87" s="126">
        <f t="shared" si="13"/>
        <v>0.04</v>
      </c>
      <c r="AF87" s="126">
        <f t="shared" si="13"/>
        <v>0.04</v>
      </c>
      <c r="AG87" s="126">
        <f t="shared" si="13"/>
        <v>0.04</v>
      </c>
      <c r="AH87" s="126">
        <f t="shared" si="13"/>
        <v>0.04</v>
      </c>
      <c r="AI87" s="126">
        <f t="shared" ref="AI87:AZ87" si="14">INDEX(Prime_risque_loc,MATCH($B$87,$B$88:$B$89,0),AI7+1)</f>
        <v>0.04</v>
      </c>
      <c r="AJ87" s="126">
        <f t="shared" si="14"/>
        <v>0.04</v>
      </c>
      <c r="AK87" s="126">
        <f t="shared" si="14"/>
        <v>0.04</v>
      </c>
      <c r="AL87" s="126">
        <f t="shared" si="14"/>
        <v>0.04</v>
      </c>
      <c r="AM87" s="126">
        <f t="shared" si="14"/>
        <v>0.04</v>
      </c>
      <c r="AN87" s="126">
        <f t="shared" si="14"/>
        <v>0.04</v>
      </c>
      <c r="AO87" s="126">
        <f t="shared" si="14"/>
        <v>0.04</v>
      </c>
      <c r="AP87" s="126">
        <f t="shared" si="14"/>
        <v>0.04</v>
      </c>
      <c r="AQ87" s="126">
        <f t="shared" si="14"/>
        <v>0.04</v>
      </c>
      <c r="AR87" s="126">
        <f t="shared" si="14"/>
        <v>0.04</v>
      </c>
      <c r="AS87" s="126">
        <f t="shared" si="14"/>
        <v>0.04</v>
      </c>
      <c r="AT87" s="126">
        <f t="shared" si="14"/>
        <v>0.04</v>
      </c>
      <c r="AU87" s="126">
        <f t="shared" si="14"/>
        <v>0.04</v>
      </c>
      <c r="AV87" s="126">
        <f t="shared" si="14"/>
        <v>0.04</v>
      </c>
      <c r="AW87" s="126">
        <f t="shared" si="14"/>
        <v>0.04</v>
      </c>
      <c r="AX87" s="126">
        <f t="shared" si="14"/>
        <v>0.04</v>
      </c>
      <c r="AY87" s="126">
        <f t="shared" si="14"/>
        <v>0.04</v>
      </c>
      <c r="AZ87" s="153">
        <f t="shared" si="14"/>
        <v>0.04</v>
      </c>
    </row>
    <row r="88" spans="1:53" s="40" customFormat="1" ht="14.25" customHeight="1" outlineLevel="1">
      <c r="A88" s="570"/>
      <c r="B88" s="10" t="s">
        <v>144</v>
      </c>
      <c r="C88" s="15">
        <v>0.04</v>
      </c>
      <c r="D88" s="16">
        <v>0.04</v>
      </c>
      <c r="E88" s="16">
        <v>0.04</v>
      </c>
      <c r="F88" s="16">
        <v>0.04</v>
      </c>
      <c r="G88" s="16">
        <v>0.04</v>
      </c>
      <c r="H88" s="16">
        <v>0.04</v>
      </c>
      <c r="I88" s="16">
        <v>0.04</v>
      </c>
      <c r="J88" s="16">
        <v>0.04</v>
      </c>
      <c r="K88" s="16">
        <v>0.04</v>
      </c>
      <c r="L88" s="16">
        <v>0.04</v>
      </c>
      <c r="M88" s="16">
        <v>0.04</v>
      </c>
      <c r="N88" s="16">
        <v>0.04</v>
      </c>
      <c r="O88" s="16">
        <v>0.04</v>
      </c>
      <c r="P88" s="16">
        <v>0.04</v>
      </c>
      <c r="Q88" s="16">
        <v>0.04</v>
      </c>
      <c r="R88" s="16">
        <v>0.04</v>
      </c>
      <c r="S88" s="16">
        <v>0.04</v>
      </c>
      <c r="T88" s="16">
        <v>0.04</v>
      </c>
      <c r="U88" s="16">
        <v>0.04</v>
      </c>
      <c r="V88" s="16">
        <v>0.04</v>
      </c>
      <c r="W88" s="16">
        <v>0.04</v>
      </c>
      <c r="X88" s="16">
        <v>0.04</v>
      </c>
      <c r="Y88" s="16">
        <v>0.04</v>
      </c>
      <c r="Z88" s="16">
        <v>0.04</v>
      </c>
      <c r="AA88" s="16">
        <v>0.04</v>
      </c>
      <c r="AB88" s="16">
        <v>0.04</v>
      </c>
      <c r="AC88" s="16">
        <v>0.04</v>
      </c>
      <c r="AD88" s="16">
        <v>0.04</v>
      </c>
      <c r="AE88" s="16">
        <v>0.04</v>
      </c>
      <c r="AF88" s="16">
        <v>0.04</v>
      </c>
      <c r="AG88" s="16">
        <v>0.04</v>
      </c>
      <c r="AH88" s="16">
        <v>0.04</v>
      </c>
      <c r="AI88" s="16">
        <v>0.04</v>
      </c>
      <c r="AJ88" s="16">
        <v>0.04</v>
      </c>
      <c r="AK88" s="16">
        <v>0.04</v>
      </c>
      <c r="AL88" s="16">
        <v>0.04</v>
      </c>
      <c r="AM88" s="16">
        <v>0.04</v>
      </c>
      <c r="AN88" s="16">
        <v>0.04</v>
      </c>
      <c r="AO88" s="16">
        <v>0.04</v>
      </c>
      <c r="AP88" s="16">
        <v>0.04</v>
      </c>
      <c r="AQ88" s="16">
        <v>0.04</v>
      </c>
      <c r="AR88" s="16">
        <v>0.04</v>
      </c>
      <c r="AS88" s="16">
        <v>0.04</v>
      </c>
      <c r="AT88" s="16">
        <v>0.04</v>
      </c>
      <c r="AU88" s="16">
        <v>0.04</v>
      </c>
      <c r="AV88" s="16">
        <v>0.04</v>
      </c>
      <c r="AW88" s="16">
        <v>0.04</v>
      </c>
      <c r="AX88" s="16">
        <v>0.04</v>
      </c>
      <c r="AY88" s="16">
        <v>0.04</v>
      </c>
      <c r="AZ88" s="33">
        <v>0.04</v>
      </c>
    </row>
    <row r="89" spans="1:53" s="40" customFormat="1" outlineLevel="1">
      <c r="A89" s="570"/>
      <c r="B89" s="10" t="s">
        <v>136</v>
      </c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33"/>
    </row>
    <row r="90" spans="1:53" s="40" customFormat="1">
      <c r="A90" s="570"/>
      <c r="B90" s="10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215"/>
    </row>
    <row r="91" spans="1:53" s="115" customFormat="1">
      <c r="A91" s="572" t="s">
        <v>91</v>
      </c>
      <c r="B91" s="114" t="s">
        <v>145</v>
      </c>
      <c r="C91" s="125">
        <f t="shared" ref="C91:AH91" si="15">INDEX(Inflation,MATCH($B$91,$B$92:$B$93,0),C7+1)</f>
        <v>1.2999999999999999E-2</v>
      </c>
      <c r="D91" s="126">
        <f t="shared" si="15"/>
        <v>1.2999999999999999E-2</v>
      </c>
      <c r="E91" s="126">
        <f t="shared" si="15"/>
        <v>1.2999999999999999E-2</v>
      </c>
      <c r="F91" s="126">
        <f t="shared" si="15"/>
        <v>1.2999999999999999E-2</v>
      </c>
      <c r="G91" s="126">
        <f t="shared" si="15"/>
        <v>1.2999999999999999E-2</v>
      </c>
      <c r="H91" s="126">
        <f t="shared" si="15"/>
        <v>1.2999999999999999E-2</v>
      </c>
      <c r="I91" s="126">
        <f t="shared" si="15"/>
        <v>1.2999999999999999E-2</v>
      </c>
      <c r="J91" s="126">
        <f t="shared" si="15"/>
        <v>1.2999999999999999E-2</v>
      </c>
      <c r="K91" s="126">
        <f t="shared" si="15"/>
        <v>1.2999999999999999E-2</v>
      </c>
      <c r="L91" s="126">
        <f t="shared" si="15"/>
        <v>1.2999999999999999E-2</v>
      </c>
      <c r="M91" s="126">
        <f t="shared" si="15"/>
        <v>1.2999999999999999E-2</v>
      </c>
      <c r="N91" s="126">
        <f t="shared" si="15"/>
        <v>1.2999999999999999E-2</v>
      </c>
      <c r="O91" s="126">
        <f t="shared" si="15"/>
        <v>1.2999999999999999E-2</v>
      </c>
      <c r="P91" s="126">
        <f t="shared" si="15"/>
        <v>1.2999999999999999E-2</v>
      </c>
      <c r="Q91" s="126">
        <f t="shared" si="15"/>
        <v>1.2999999999999999E-2</v>
      </c>
      <c r="R91" s="126">
        <f t="shared" si="15"/>
        <v>1.2999999999999999E-2</v>
      </c>
      <c r="S91" s="126">
        <f t="shared" si="15"/>
        <v>1.2999999999999999E-2</v>
      </c>
      <c r="T91" s="126">
        <f t="shared" si="15"/>
        <v>1.2999999999999999E-2</v>
      </c>
      <c r="U91" s="126">
        <f t="shared" si="15"/>
        <v>1.2999999999999999E-2</v>
      </c>
      <c r="V91" s="126">
        <f t="shared" si="15"/>
        <v>1.2999999999999999E-2</v>
      </c>
      <c r="W91" s="126">
        <f t="shared" si="15"/>
        <v>1.2999999999999999E-2</v>
      </c>
      <c r="X91" s="126">
        <f t="shared" si="15"/>
        <v>1.2999999999999999E-2</v>
      </c>
      <c r="Y91" s="126">
        <f t="shared" si="15"/>
        <v>1.2999999999999999E-2</v>
      </c>
      <c r="Z91" s="126">
        <f t="shared" si="15"/>
        <v>1.2999999999999999E-2</v>
      </c>
      <c r="AA91" s="126">
        <f t="shared" si="15"/>
        <v>1.2999999999999999E-2</v>
      </c>
      <c r="AB91" s="126">
        <f t="shared" si="15"/>
        <v>1.2999999999999999E-2</v>
      </c>
      <c r="AC91" s="126">
        <f t="shared" si="15"/>
        <v>1.2999999999999999E-2</v>
      </c>
      <c r="AD91" s="126">
        <f t="shared" si="15"/>
        <v>1.2999999999999999E-2</v>
      </c>
      <c r="AE91" s="126">
        <f t="shared" si="15"/>
        <v>1.2999999999999999E-2</v>
      </c>
      <c r="AF91" s="126">
        <f t="shared" si="15"/>
        <v>1.2999999999999999E-2</v>
      </c>
      <c r="AG91" s="126">
        <f t="shared" si="15"/>
        <v>1.2999999999999999E-2</v>
      </c>
      <c r="AH91" s="126">
        <f t="shared" si="15"/>
        <v>1.2999999999999999E-2</v>
      </c>
      <c r="AI91" s="126">
        <f t="shared" ref="AI91:AZ91" si="16">INDEX(Inflation,MATCH($B$91,$B$92:$B$93,0),AI7+1)</f>
        <v>1.2999999999999999E-2</v>
      </c>
      <c r="AJ91" s="126">
        <f t="shared" si="16"/>
        <v>1.2999999999999999E-2</v>
      </c>
      <c r="AK91" s="126">
        <f t="shared" si="16"/>
        <v>1.2999999999999999E-2</v>
      </c>
      <c r="AL91" s="126">
        <f t="shared" si="16"/>
        <v>1.2999999999999999E-2</v>
      </c>
      <c r="AM91" s="126">
        <f t="shared" si="16"/>
        <v>1.2999999999999999E-2</v>
      </c>
      <c r="AN91" s="126">
        <f t="shared" si="16"/>
        <v>1.2999999999999999E-2</v>
      </c>
      <c r="AO91" s="126">
        <f t="shared" si="16"/>
        <v>1.2999999999999999E-2</v>
      </c>
      <c r="AP91" s="126">
        <f t="shared" si="16"/>
        <v>1.2999999999999999E-2</v>
      </c>
      <c r="AQ91" s="126">
        <f t="shared" si="16"/>
        <v>1.2999999999999999E-2</v>
      </c>
      <c r="AR91" s="126">
        <f t="shared" si="16"/>
        <v>1.2999999999999999E-2</v>
      </c>
      <c r="AS91" s="126">
        <f t="shared" si="16"/>
        <v>1.2999999999999999E-2</v>
      </c>
      <c r="AT91" s="126">
        <f t="shared" si="16"/>
        <v>1.2999999999999999E-2</v>
      </c>
      <c r="AU91" s="126">
        <f t="shared" si="16"/>
        <v>1.2999999999999999E-2</v>
      </c>
      <c r="AV91" s="126">
        <f t="shared" si="16"/>
        <v>1.2999999999999999E-2</v>
      </c>
      <c r="AW91" s="126">
        <f t="shared" si="16"/>
        <v>1.2999999999999999E-2</v>
      </c>
      <c r="AX91" s="126">
        <f t="shared" si="16"/>
        <v>1.2999999999999999E-2</v>
      </c>
      <c r="AY91" s="126">
        <f t="shared" si="16"/>
        <v>1.2999999999999999E-2</v>
      </c>
      <c r="AZ91" s="153">
        <f t="shared" si="16"/>
        <v>1.2999999999999999E-2</v>
      </c>
    </row>
    <row r="92" spans="1:53" s="115" customFormat="1" outlineLevel="1">
      <c r="A92" s="572"/>
      <c r="B92" s="116" t="s">
        <v>145</v>
      </c>
      <c r="C92" s="11">
        <v>1.2999999999999999E-2</v>
      </c>
      <c r="D92" s="12">
        <v>1.2999999999999999E-2</v>
      </c>
      <c r="E92" s="12">
        <v>1.2999999999999999E-2</v>
      </c>
      <c r="F92" s="12">
        <v>1.2999999999999999E-2</v>
      </c>
      <c r="G92" s="12">
        <v>1.2999999999999999E-2</v>
      </c>
      <c r="H92" s="12">
        <v>1.2999999999999999E-2</v>
      </c>
      <c r="I92" s="12">
        <v>1.2999999999999999E-2</v>
      </c>
      <c r="J92" s="12">
        <v>1.2999999999999999E-2</v>
      </c>
      <c r="K92" s="12">
        <v>1.2999999999999999E-2</v>
      </c>
      <c r="L92" s="12">
        <v>1.2999999999999999E-2</v>
      </c>
      <c r="M92" s="12">
        <v>1.2999999999999999E-2</v>
      </c>
      <c r="N92" s="12">
        <v>1.2999999999999999E-2</v>
      </c>
      <c r="O92" s="12">
        <v>1.2999999999999999E-2</v>
      </c>
      <c r="P92" s="12">
        <v>1.2999999999999999E-2</v>
      </c>
      <c r="Q92" s="12">
        <v>1.2999999999999999E-2</v>
      </c>
      <c r="R92" s="12">
        <v>1.2999999999999999E-2</v>
      </c>
      <c r="S92" s="12">
        <v>1.2999999999999999E-2</v>
      </c>
      <c r="T92" s="12">
        <v>1.2999999999999999E-2</v>
      </c>
      <c r="U92" s="12">
        <v>1.2999999999999999E-2</v>
      </c>
      <c r="V92" s="12">
        <v>1.2999999999999999E-2</v>
      </c>
      <c r="W92" s="12">
        <v>1.2999999999999999E-2</v>
      </c>
      <c r="X92" s="12">
        <v>1.2999999999999999E-2</v>
      </c>
      <c r="Y92" s="12">
        <v>1.2999999999999999E-2</v>
      </c>
      <c r="Z92" s="12">
        <v>1.2999999999999999E-2</v>
      </c>
      <c r="AA92" s="12">
        <v>1.2999999999999999E-2</v>
      </c>
      <c r="AB92" s="12">
        <v>1.2999999999999999E-2</v>
      </c>
      <c r="AC92" s="12">
        <v>1.2999999999999999E-2</v>
      </c>
      <c r="AD92" s="12">
        <v>1.2999999999999999E-2</v>
      </c>
      <c r="AE92" s="12">
        <v>1.2999999999999999E-2</v>
      </c>
      <c r="AF92" s="12">
        <v>1.2999999999999999E-2</v>
      </c>
      <c r="AG92" s="12">
        <v>1.2999999999999999E-2</v>
      </c>
      <c r="AH92" s="12">
        <v>1.2999999999999999E-2</v>
      </c>
      <c r="AI92" s="12">
        <v>1.2999999999999999E-2</v>
      </c>
      <c r="AJ92" s="12">
        <v>1.2999999999999999E-2</v>
      </c>
      <c r="AK92" s="12">
        <v>1.2999999999999999E-2</v>
      </c>
      <c r="AL92" s="12">
        <v>1.2999999999999999E-2</v>
      </c>
      <c r="AM92" s="12">
        <v>1.2999999999999999E-2</v>
      </c>
      <c r="AN92" s="12">
        <v>1.2999999999999999E-2</v>
      </c>
      <c r="AO92" s="12">
        <v>1.2999999999999999E-2</v>
      </c>
      <c r="AP92" s="12">
        <v>1.2999999999999999E-2</v>
      </c>
      <c r="AQ92" s="12">
        <v>1.2999999999999999E-2</v>
      </c>
      <c r="AR92" s="12">
        <v>1.2999999999999999E-2</v>
      </c>
      <c r="AS92" s="12">
        <v>1.2999999999999999E-2</v>
      </c>
      <c r="AT92" s="12">
        <v>1.2999999999999999E-2</v>
      </c>
      <c r="AU92" s="12">
        <v>1.2999999999999999E-2</v>
      </c>
      <c r="AV92" s="12">
        <v>1.2999999999999999E-2</v>
      </c>
      <c r="AW92" s="12">
        <v>1.2999999999999999E-2</v>
      </c>
      <c r="AX92" s="12">
        <v>1.2999999999999999E-2</v>
      </c>
      <c r="AY92" s="12">
        <v>1.2999999999999999E-2</v>
      </c>
      <c r="AZ92" s="117">
        <v>1.2999999999999999E-2</v>
      </c>
    </row>
    <row r="93" spans="1:53" outlineLevel="1">
      <c r="A93" s="570"/>
      <c r="B93" s="39" t="s">
        <v>136</v>
      </c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33"/>
    </row>
    <row r="94" spans="1:53">
      <c r="A94" s="570"/>
      <c r="B94" s="39"/>
      <c r="C94" s="1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</row>
    <row r="95" spans="1:53">
      <c r="A95" s="570" t="s">
        <v>100</v>
      </c>
      <c r="B95" s="97" t="s">
        <v>144</v>
      </c>
      <c r="C95" s="170">
        <f>INDEX(Cout_programmée,MATCH($B$95,$B$96:$B$97,0),C7+1)</f>
        <v>140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</row>
    <row r="96" spans="1:53" outlineLevel="1">
      <c r="A96" s="570"/>
      <c r="B96" s="10" t="s">
        <v>144</v>
      </c>
      <c r="C96" s="171">
        <v>140</v>
      </c>
      <c r="D96" s="169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</row>
    <row r="97" spans="1:53" outlineLevel="1">
      <c r="A97" s="570"/>
      <c r="B97" s="10" t="s">
        <v>136</v>
      </c>
      <c r="C97" s="172"/>
      <c r="D97" s="169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</row>
    <row r="98" spans="1:53">
      <c r="A98" s="570"/>
      <c r="C98" s="149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</row>
    <row r="99" spans="1:53">
      <c r="A99" s="570" t="s">
        <v>101</v>
      </c>
      <c r="B99" s="97" t="s">
        <v>144</v>
      </c>
      <c r="C99" s="170">
        <f>INDEX(Cout_raccordable,MATCH($B$99,$B$100:$B$101,0),C7+1)</f>
        <v>360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</row>
    <row r="100" spans="1:53" outlineLevel="1">
      <c r="A100" s="570"/>
      <c r="B100" s="10" t="s">
        <v>144</v>
      </c>
      <c r="C100" s="171">
        <v>360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</row>
    <row r="101" spans="1:53" outlineLevel="1">
      <c r="A101" s="570"/>
      <c r="B101" s="10" t="s">
        <v>136</v>
      </c>
      <c r="C101" s="172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</row>
    <row r="102" spans="1:53">
      <c r="A102" s="570"/>
      <c r="C102" s="149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</row>
    <row r="103" spans="1:53">
      <c r="A103" s="570" t="s">
        <v>114</v>
      </c>
      <c r="B103" s="222" t="s">
        <v>146</v>
      </c>
      <c r="C103" s="177">
        <v>0.01</v>
      </c>
      <c r="D103" s="223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37"/>
    </row>
    <row r="104" spans="1:53">
      <c r="A104" s="570"/>
      <c r="B104" s="220"/>
      <c r="C104" s="221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225"/>
    </row>
    <row r="105" spans="1:53">
      <c r="A105" s="570" t="s">
        <v>85</v>
      </c>
      <c r="B105" s="97" t="s">
        <v>148</v>
      </c>
      <c r="C105" s="154">
        <f>INDEX($B$106:$L$108,MATCH($B$105,$B$106:$B$108,0),C7+1)</f>
        <v>1070519.2573731178</v>
      </c>
      <c r="D105" s="155">
        <f t="shared" ref="D105:L105" si="17">INDEX($B$106:$L$108,MATCH($B$105,$B$106:$B$108,0),D7+1)</f>
        <v>1756989.7311636298</v>
      </c>
      <c r="E105" s="155">
        <f t="shared" si="17"/>
        <v>2047568.8020868455</v>
      </c>
      <c r="F105" s="155">
        <f t="shared" si="17"/>
        <v>2205914.1227815617</v>
      </c>
      <c r="G105" s="155">
        <f t="shared" si="17"/>
        <v>2088724.935008791</v>
      </c>
      <c r="H105" s="155">
        <f t="shared" si="17"/>
        <v>1828330.559777695</v>
      </c>
      <c r="I105" s="155">
        <f t="shared" si="17"/>
        <v>1278424.9837214807</v>
      </c>
      <c r="J105" s="155">
        <f t="shared" si="17"/>
        <v>1147741.5409410626</v>
      </c>
      <c r="K105" s="155">
        <f t="shared" si="17"/>
        <v>434707.10863142746</v>
      </c>
      <c r="L105" s="155">
        <f t="shared" si="17"/>
        <v>0</v>
      </c>
      <c r="M105" s="156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8"/>
    </row>
    <row r="106" spans="1:53" s="41" customFormat="1" outlineLevel="1">
      <c r="A106" s="570"/>
      <c r="B106" s="28" t="s">
        <v>147</v>
      </c>
      <c r="C106" s="106">
        <f>'Calcul hypotèses déploiement'!B18</f>
        <v>1120000</v>
      </c>
      <c r="D106" s="107">
        <f>'Calcul hypotèses déploiement'!C18</f>
        <v>1820000</v>
      </c>
      <c r="E106" s="107">
        <f>'Calcul hypotèses déploiement'!D18</f>
        <v>2100000</v>
      </c>
      <c r="F106" s="107">
        <f>'Calcul hypotèses déploiement'!E18</f>
        <v>2240000</v>
      </c>
      <c r="G106" s="107">
        <f>'Calcul hypotèses déploiement'!F18</f>
        <v>2100000</v>
      </c>
      <c r="H106" s="107">
        <f>'Calcul hypotèses déploiement'!G18</f>
        <v>1820000</v>
      </c>
      <c r="I106" s="107">
        <f>'Calcul hypotèses déploiement'!H18</f>
        <v>1260000</v>
      </c>
      <c r="J106" s="107">
        <f>'Calcul hypotèses déploiement'!I18</f>
        <v>1120000</v>
      </c>
      <c r="K106" s="107">
        <f>'Calcul hypotèses déploiement'!J18</f>
        <v>420000</v>
      </c>
      <c r="L106" s="107">
        <f>'Calcul hypotèses déploiement'!K18</f>
        <v>0</v>
      </c>
      <c r="M106" s="110"/>
      <c r="N106" s="110"/>
      <c r="O106" s="110"/>
      <c r="P106" s="110"/>
      <c r="Q106" s="110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9"/>
    </row>
    <row r="107" spans="1:53" s="41" customFormat="1" outlineLevel="1">
      <c r="A107" s="570"/>
      <c r="B107" s="28" t="s">
        <v>148</v>
      </c>
      <c r="C107" s="143">
        <f>'Calcul hypotèses déploiement'!B26</f>
        <v>1070519.2573731178</v>
      </c>
      <c r="D107" s="144">
        <f>'Calcul hypotèses déploiement'!C26</f>
        <v>1756989.7311636298</v>
      </c>
      <c r="E107" s="144">
        <f>'Calcul hypotèses déploiement'!D26</f>
        <v>2047568.8020868455</v>
      </c>
      <c r="F107" s="144">
        <f>'Calcul hypotèses déploiement'!E26</f>
        <v>2205914.1227815617</v>
      </c>
      <c r="G107" s="144">
        <f>'Calcul hypotèses déploiement'!F26</f>
        <v>2088724.935008791</v>
      </c>
      <c r="H107" s="144">
        <f>'Calcul hypotèses déploiement'!G26</f>
        <v>1828330.559777695</v>
      </c>
      <c r="I107" s="144">
        <f>'Calcul hypotèses déploiement'!H26</f>
        <v>1278424.9837214807</v>
      </c>
      <c r="J107" s="144">
        <f>'Calcul hypotèses déploiement'!I26</f>
        <v>1147741.5409410626</v>
      </c>
      <c r="K107" s="144">
        <f>'Calcul hypotèses déploiement'!J26</f>
        <v>434707.10863142746</v>
      </c>
      <c r="L107" s="144">
        <f>'Calcul hypotèses déploiement'!K26</f>
        <v>0</v>
      </c>
      <c r="M107" s="145"/>
      <c r="N107" s="145"/>
      <c r="O107" s="145"/>
      <c r="P107" s="145"/>
      <c r="Q107" s="145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7"/>
    </row>
    <row r="108" spans="1:53" s="41" customFormat="1" outlineLevel="1">
      <c r="A108" s="570"/>
      <c r="B108" s="42" t="s">
        <v>149</v>
      </c>
      <c r="C108" s="148"/>
      <c r="D108" s="149"/>
      <c r="E108" s="149"/>
      <c r="F108" s="149"/>
      <c r="G108" s="149"/>
      <c r="H108" s="149"/>
      <c r="I108" s="149"/>
      <c r="J108" s="149"/>
      <c r="K108" s="149"/>
      <c r="L108" s="149"/>
      <c r="M108" s="150"/>
      <c r="N108" s="150"/>
      <c r="O108" s="150"/>
      <c r="P108" s="150"/>
      <c r="Q108" s="150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2"/>
    </row>
    <row r="109" spans="1:53" s="41" customFormat="1">
      <c r="A109" s="570"/>
      <c r="B109" s="42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7"/>
    </row>
    <row r="110" spans="1:53" s="41" customFormat="1">
      <c r="A110" s="570" t="s">
        <v>86</v>
      </c>
      <c r="B110" s="98" t="s">
        <v>148</v>
      </c>
      <c r="C110" s="154">
        <f>INDEX($B$111:$Q$113,MATCH($B$110,$B$111:$B$113,0),C7+1)</f>
        <v>1073498.9215952058</v>
      </c>
      <c r="D110" s="155">
        <f t="shared" ref="D110:Q110" si="18">INDEX($B$111:$Q$113,MATCH($B$110,$B$111:$B$113,0),D7+1)</f>
        <v>2575055.5381764998</v>
      </c>
      <c r="E110" s="155">
        <f t="shared" si="18"/>
        <v>3798545.7419074662</v>
      </c>
      <c r="F110" s="155">
        <f t="shared" si="18"/>
        <v>4717896.474847503</v>
      </c>
      <c r="G110" s="155">
        <f t="shared" si="18"/>
        <v>5149074.1929700132</v>
      </c>
      <c r="H110" s="155">
        <f t="shared" si="18"/>
        <v>5024274.5981234526</v>
      </c>
      <c r="I110" s="155">
        <f t="shared" si="18"/>
        <v>4308888.4114853833</v>
      </c>
      <c r="J110" s="155">
        <f t="shared" si="18"/>
        <v>3650625.5826729261</v>
      </c>
      <c r="K110" s="155">
        <f t="shared" si="18"/>
        <v>2542849.5437928657</v>
      </c>
      <c r="L110" s="155">
        <f t="shared" si="18"/>
        <v>1339173.5490274858</v>
      </c>
      <c r="M110" s="155">
        <f t="shared" si="18"/>
        <v>629961.91333703918</v>
      </c>
      <c r="N110" s="155">
        <f t="shared" si="18"/>
        <v>261990.04278193336</v>
      </c>
      <c r="O110" s="155">
        <f t="shared" si="18"/>
        <v>56702.130687804143</v>
      </c>
      <c r="P110" s="155">
        <f t="shared" si="18"/>
        <v>0</v>
      </c>
      <c r="Q110" s="155">
        <f t="shared" si="18"/>
        <v>0</v>
      </c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59"/>
      <c r="AV110" s="159"/>
      <c r="AW110" s="159"/>
      <c r="AX110" s="159"/>
      <c r="AY110" s="159"/>
      <c r="AZ110" s="160"/>
    </row>
    <row r="111" spans="1:53" s="41" customFormat="1" outlineLevel="1">
      <c r="A111" s="570"/>
      <c r="B111" s="28" t="s">
        <v>147</v>
      </c>
      <c r="C111" s="106">
        <f>'Calcul hypotèses déploiement'!B19</f>
        <v>1152000</v>
      </c>
      <c r="D111" s="107">
        <f>'Calcul hypotèses déploiement'!C19</f>
        <v>2736000</v>
      </c>
      <c r="E111" s="107">
        <f>'Calcul hypotèses déploiement'!D19</f>
        <v>3996000</v>
      </c>
      <c r="F111" s="107">
        <f>'Calcul hypotèses déploiement'!E19</f>
        <v>4914000</v>
      </c>
      <c r="G111" s="107">
        <f>'Calcul hypotèses déploiement'!F19</f>
        <v>5310000</v>
      </c>
      <c r="H111" s="107">
        <f>'Calcul hypotèses déploiement'!G19</f>
        <v>5130000</v>
      </c>
      <c r="I111" s="107">
        <f>'Calcul hypotèses déploiement'!H19</f>
        <v>4356000</v>
      </c>
      <c r="J111" s="107">
        <f>'Calcul hypotèses déploiement'!I19</f>
        <v>3654000</v>
      </c>
      <c r="K111" s="107">
        <f>'Calcul hypotèses déploiement'!J19</f>
        <v>2520000</v>
      </c>
      <c r="L111" s="107">
        <f>'Calcul hypotèses déploiement'!K19</f>
        <v>1314000</v>
      </c>
      <c r="M111" s="107">
        <f>'Calcul hypotèses déploiement'!L19</f>
        <v>612000</v>
      </c>
      <c r="N111" s="107">
        <f>'Calcul hypotèses déploiement'!M19</f>
        <v>252000</v>
      </c>
      <c r="O111" s="107">
        <f>'Calcul hypotèses déploiement'!N19</f>
        <v>54000</v>
      </c>
      <c r="P111" s="107">
        <f>'Calcul hypotèses déploiement'!O19</f>
        <v>0</v>
      </c>
      <c r="Q111" s="107">
        <f>'Calcul hypotèses déploiement'!P19</f>
        <v>0</v>
      </c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9"/>
    </row>
    <row r="112" spans="1:53" s="41" customFormat="1" outlineLevel="1">
      <c r="A112" s="570"/>
      <c r="B112" s="43" t="s">
        <v>148</v>
      </c>
      <c r="C112" s="143">
        <f>'Calcul hypotèses déploiement'!B27</f>
        <v>1073498.9215952058</v>
      </c>
      <c r="D112" s="144">
        <f>'Calcul hypotèses déploiement'!C27</f>
        <v>2575055.5381764998</v>
      </c>
      <c r="E112" s="144">
        <f>'Calcul hypotèses déploiement'!D27</f>
        <v>3798545.7419074662</v>
      </c>
      <c r="F112" s="144">
        <f>'Calcul hypotèses déploiement'!E27</f>
        <v>4717896.474847503</v>
      </c>
      <c r="G112" s="144">
        <f>'Calcul hypotèses déploiement'!F27</f>
        <v>5149074.1929700132</v>
      </c>
      <c r="H112" s="144">
        <f>'Calcul hypotèses déploiement'!G27</f>
        <v>5024274.5981234526</v>
      </c>
      <c r="I112" s="144">
        <f>'Calcul hypotèses déploiement'!H27</f>
        <v>4308888.4114853833</v>
      </c>
      <c r="J112" s="144">
        <f>'Calcul hypotèses déploiement'!I27</f>
        <v>3650625.5826729261</v>
      </c>
      <c r="K112" s="144">
        <f>'Calcul hypotèses déploiement'!J27</f>
        <v>2542849.5437928657</v>
      </c>
      <c r="L112" s="144">
        <f>'Calcul hypotèses déploiement'!K27</f>
        <v>1339173.5490274858</v>
      </c>
      <c r="M112" s="144">
        <f>'Calcul hypotèses déploiement'!L27</f>
        <v>629961.91333703918</v>
      </c>
      <c r="N112" s="144">
        <f>'Calcul hypotèses déploiement'!M27</f>
        <v>261990.04278193336</v>
      </c>
      <c r="O112" s="144">
        <f>'Calcul hypotèses déploiement'!N27</f>
        <v>56702.130687804143</v>
      </c>
      <c r="P112" s="144">
        <f>'Calcul hypotèses déploiement'!O27</f>
        <v>0</v>
      </c>
      <c r="Q112" s="144">
        <f>'Calcul hypotèses déploiement'!P27</f>
        <v>0</v>
      </c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7"/>
    </row>
    <row r="113" spans="1:53" s="41" customFormat="1" outlineLevel="1">
      <c r="A113" s="570"/>
      <c r="B113" s="28" t="s">
        <v>149</v>
      </c>
      <c r="C113" s="16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7"/>
    </row>
    <row r="114" spans="1:53" s="41" customFormat="1">
      <c r="A114" s="573"/>
      <c r="B114" s="28"/>
      <c r="C114" s="149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30"/>
    </row>
    <row r="115" spans="1:53" s="41" customFormat="1">
      <c r="A115" s="574" t="s">
        <v>122</v>
      </c>
      <c r="B115" s="97" t="s">
        <v>99</v>
      </c>
      <c r="C115" s="140">
        <f>INDEX($B$116:$AZ$117,MATCH($B$115,$B$116:$B$117,0),C7+1)</f>
        <v>0.01</v>
      </c>
      <c r="D115" s="141">
        <f t="shared" ref="D115:AZ115" si="19">INDEX($B$116:$AZ$117,MATCH($B$115,$B$116:$B$117,0),D7+1)</f>
        <v>1.0833333333333334E-2</v>
      </c>
      <c r="E115" s="141">
        <f t="shared" si="19"/>
        <v>1.1666666666666667E-2</v>
      </c>
      <c r="F115" s="141">
        <f t="shared" si="19"/>
        <v>1.2500000000000001E-2</v>
      </c>
      <c r="G115" s="141">
        <f t="shared" si="19"/>
        <v>1.3333333333333334E-2</v>
      </c>
      <c r="H115" s="141">
        <f t="shared" si="19"/>
        <v>1.4166666666666668E-2</v>
      </c>
      <c r="I115" s="141">
        <f t="shared" si="19"/>
        <v>1.5000000000000001E-2</v>
      </c>
      <c r="J115" s="141">
        <f t="shared" si="19"/>
        <v>1.5833333333333335E-2</v>
      </c>
      <c r="K115" s="141">
        <f t="shared" si="19"/>
        <v>1.6666666666666666E-2</v>
      </c>
      <c r="L115" s="141">
        <f t="shared" si="19"/>
        <v>1.7499999999999998E-2</v>
      </c>
      <c r="M115" s="141">
        <f t="shared" si="19"/>
        <v>1.833333333333333E-2</v>
      </c>
      <c r="N115" s="141">
        <f t="shared" si="19"/>
        <v>1.9166666666666662E-2</v>
      </c>
      <c r="O115" s="141">
        <f t="shared" si="19"/>
        <v>1.9999999999999993E-2</v>
      </c>
      <c r="P115" s="141">
        <f t="shared" si="19"/>
        <v>2.0833333333333325E-2</v>
      </c>
      <c r="Q115" s="141">
        <f t="shared" si="19"/>
        <v>2.1666666666666657E-2</v>
      </c>
      <c r="R115" s="141">
        <f t="shared" si="19"/>
        <v>2.2499999999999989E-2</v>
      </c>
      <c r="S115" s="141">
        <f t="shared" si="19"/>
        <v>2.3333333333333321E-2</v>
      </c>
      <c r="T115" s="141">
        <f t="shared" si="19"/>
        <v>2.4166666666666652E-2</v>
      </c>
      <c r="U115" s="141">
        <f t="shared" si="19"/>
        <v>2.4999999999999984E-2</v>
      </c>
      <c r="V115" s="141">
        <f t="shared" si="19"/>
        <v>2.5833333333333316E-2</v>
      </c>
      <c r="W115" s="141">
        <f t="shared" si="19"/>
        <v>2.6666666666666648E-2</v>
      </c>
      <c r="X115" s="141">
        <f t="shared" si="19"/>
        <v>2.7499999999999979E-2</v>
      </c>
      <c r="Y115" s="141">
        <f t="shared" si="19"/>
        <v>2.8333333333333311E-2</v>
      </c>
      <c r="Z115" s="141">
        <f t="shared" si="19"/>
        <v>2.9166666666666643E-2</v>
      </c>
      <c r="AA115" s="141">
        <f t="shared" si="19"/>
        <v>2.9999999999999975E-2</v>
      </c>
      <c r="AB115" s="141">
        <f t="shared" si="19"/>
        <v>2.9999999999999975E-2</v>
      </c>
      <c r="AC115" s="141">
        <f t="shared" si="19"/>
        <v>2.9999999999999975E-2</v>
      </c>
      <c r="AD115" s="141">
        <f t="shared" si="19"/>
        <v>2.9999999999999975E-2</v>
      </c>
      <c r="AE115" s="141">
        <f t="shared" si="19"/>
        <v>2.9999999999999975E-2</v>
      </c>
      <c r="AF115" s="141">
        <f t="shared" si="19"/>
        <v>2.9999999999999975E-2</v>
      </c>
      <c r="AG115" s="141">
        <f t="shared" si="19"/>
        <v>2.9999999999999975E-2</v>
      </c>
      <c r="AH115" s="141">
        <f t="shared" si="19"/>
        <v>2.9999999999999975E-2</v>
      </c>
      <c r="AI115" s="141">
        <f t="shared" si="19"/>
        <v>2.9999999999999975E-2</v>
      </c>
      <c r="AJ115" s="141">
        <f t="shared" si="19"/>
        <v>2.9999999999999975E-2</v>
      </c>
      <c r="AK115" s="141">
        <f t="shared" si="19"/>
        <v>2.9999999999999975E-2</v>
      </c>
      <c r="AL115" s="141">
        <f t="shared" si="19"/>
        <v>2.9999999999999975E-2</v>
      </c>
      <c r="AM115" s="141">
        <f t="shared" si="19"/>
        <v>2.9999999999999975E-2</v>
      </c>
      <c r="AN115" s="141">
        <f t="shared" si="19"/>
        <v>2.9999999999999975E-2</v>
      </c>
      <c r="AO115" s="141">
        <f t="shared" si="19"/>
        <v>2.9999999999999975E-2</v>
      </c>
      <c r="AP115" s="141">
        <f t="shared" si="19"/>
        <v>2.9999999999999975E-2</v>
      </c>
      <c r="AQ115" s="141">
        <f t="shared" si="19"/>
        <v>2.9999999999999975E-2</v>
      </c>
      <c r="AR115" s="141">
        <f t="shared" si="19"/>
        <v>2.9999999999999975E-2</v>
      </c>
      <c r="AS115" s="141">
        <f t="shared" si="19"/>
        <v>2.9999999999999975E-2</v>
      </c>
      <c r="AT115" s="141">
        <f t="shared" si="19"/>
        <v>2.9999999999999975E-2</v>
      </c>
      <c r="AU115" s="141">
        <f t="shared" si="19"/>
        <v>2.9999999999999975E-2</v>
      </c>
      <c r="AV115" s="141">
        <f t="shared" si="19"/>
        <v>2.9999999999999975E-2</v>
      </c>
      <c r="AW115" s="141">
        <f t="shared" si="19"/>
        <v>2.9999999999999975E-2</v>
      </c>
      <c r="AX115" s="141">
        <f t="shared" si="19"/>
        <v>2.9999999999999975E-2</v>
      </c>
      <c r="AY115" s="141">
        <f t="shared" si="19"/>
        <v>2.9999999999999975E-2</v>
      </c>
      <c r="AZ115" s="142">
        <f t="shared" si="19"/>
        <v>2.9999999999999975E-2</v>
      </c>
    </row>
    <row r="116" spans="1:53" s="41" customFormat="1" outlineLevel="1">
      <c r="A116" s="574"/>
      <c r="B116" s="216" t="s">
        <v>98</v>
      </c>
      <c r="C116" s="176">
        <v>0.01</v>
      </c>
      <c r="D116" s="176">
        <v>0.01</v>
      </c>
      <c r="E116" s="176">
        <v>0.01</v>
      </c>
      <c r="F116" s="176">
        <v>0.01</v>
      </c>
      <c r="G116" s="176">
        <v>0.01</v>
      </c>
      <c r="H116" s="176">
        <v>0.01</v>
      </c>
      <c r="I116" s="176">
        <v>0.01</v>
      </c>
      <c r="J116" s="176">
        <v>0.01</v>
      </c>
      <c r="K116" s="176">
        <v>0.01</v>
      </c>
      <c r="L116" s="176">
        <v>0.01</v>
      </c>
      <c r="M116" s="176">
        <v>0.01</v>
      </c>
      <c r="N116" s="176">
        <v>0.01</v>
      </c>
      <c r="O116" s="176">
        <v>0.01</v>
      </c>
      <c r="P116" s="176">
        <v>0.01</v>
      </c>
      <c r="Q116" s="176">
        <v>0.01</v>
      </c>
      <c r="R116" s="176">
        <v>0.01</v>
      </c>
      <c r="S116" s="176">
        <v>0.01</v>
      </c>
      <c r="T116" s="176">
        <v>0.01</v>
      </c>
      <c r="U116" s="176">
        <v>0.01</v>
      </c>
      <c r="V116" s="176">
        <v>0.01</v>
      </c>
      <c r="W116" s="176">
        <v>0.01</v>
      </c>
      <c r="X116" s="176">
        <v>0.01</v>
      </c>
      <c r="Y116" s="176">
        <v>0.01</v>
      </c>
      <c r="Z116" s="176">
        <v>0.01</v>
      </c>
      <c r="AA116" s="176">
        <v>0.01</v>
      </c>
      <c r="AB116" s="176">
        <v>0.01</v>
      </c>
      <c r="AC116" s="176">
        <v>0.01</v>
      </c>
      <c r="AD116" s="176">
        <v>0.01</v>
      </c>
      <c r="AE116" s="176">
        <v>0.01</v>
      </c>
      <c r="AF116" s="176">
        <v>0.01</v>
      </c>
      <c r="AG116" s="176">
        <v>0.01</v>
      </c>
      <c r="AH116" s="176">
        <v>0.01</v>
      </c>
      <c r="AI116" s="176">
        <v>0.01</v>
      </c>
      <c r="AJ116" s="176">
        <v>0.01</v>
      </c>
      <c r="AK116" s="176">
        <v>0.01</v>
      </c>
      <c r="AL116" s="176">
        <v>0.01</v>
      </c>
      <c r="AM116" s="176">
        <v>0.01</v>
      </c>
      <c r="AN116" s="176">
        <v>0.01</v>
      </c>
      <c r="AO116" s="176">
        <v>0.01</v>
      </c>
      <c r="AP116" s="176">
        <v>0.01</v>
      </c>
      <c r="AQ116" s="176">
        <v>0.01</v>
      </c>
      <c r="AR116" s="176">
        <v>0.01</v>
      </c>
      <c r="AS116" s="176">
        <v>0.01</v>
      </c>
      <c r="AT116" s="176">
        <v>0.01</v>
      </c>
      <c r="AU116" s="176">
        <v>0.01</v>
      </c>
      <c r="AV116" s="176">
        <v>0.01</v>
      </c>
      <c r="AW116" s="176">
        <v>0.01</v>
      </c>
      <c r="AX116" s="176">
        <v>0.01</v>
      </c>
      <c r="AY116" s="176">
        <v>0.01</v>
      </c>
      <c r="AZ116" s="33">
        <v>0.01</v>
      </c>
    </row>
    <row r="117" spans="1:53" s="41" customFormat="1" outlineLevel="1">
      <c r="A117" s="574"/>
      <c r="B117" s="216" t="s">
        <v>99</v>
      </c>
      <c r="C117" s="176">
        <v>0.01</v>
      </c>
      <c r="D117" s="176">
        <v>1.0833333333333334E-2</v>
      </c>
      <c r="E117" s="176">
        <v>1.1666666666666667E-2</v>
      </c>
      <c r="F117" s="176">
        <v>1.2500000000000001E-2</v>
      </c>
      <c r="G117" s="176">
        <v>1.3333333333333334E-2</v>
      </c>
      <c r="H117" s="176">
        <v>1.4166666666666668E-2</v>
      </c>
      <c r="I117" s="176">
        <v>1.5000000000000001E-2</v>
      </c>
      <c r="J117" s="176">
        <v>1.5833333333333335E-2</v>
      </c>
      <c r="K117" s="176">
        <v>1.6666666666666666E-2</v>
      </c>
      <c r="L117" s="176">
        <v>1.7499999999999998E-2</v>
      </c>
      <c r="M117" s="176">
        <v>1.833333333333333E-2</v>
      </c>
      <c r="N117" s="176">
        <v>1.9166666666666662E-2</v>
      </c>
      <c r="O117" s="176">
        <v>1.9999999999999993E-2</v>
      </c>
      <c r="P117" s="176">
        <v>2.0833333333333325E-2</v>
      </c>
      <c r="Q117" s="176">
        <v>2.1666666666666657E-2</v>
      </c>
      <c r="R117" s="176">
        <v>2.2499999999999989E-2</v>
      </c>
      <c r="S117" s="176">
        <v>2.3333333333333321E-2</v>
      </c>
      <c r="T117" s="176">
        <v>2.4166666666666652E-2</v>
      </c>
      <c r="U117" s="176">
        <v>2.4999999999999984E-2</v>
      </c>
      <c r="V117" s="176">
        <v>2.5833333333333316E-2</v>
      </c>
      <c r="W117" s="176">
        <v>2.6666666666666648E-2</v>
      </c>
      <c r="X117" s="176">
        <v>2.7499999999999979E-2</v>
      </c>
      <c r="Y117" s="176">
        <v>2.8333333333333311E-2</v>
      </c>
      <c r="Z117" s="176">
        <v>2.9166666666666643E-2</v>
      </c>
      <c r="AA117" s="176">
        <v>2.9999999999999975E-2</v>
      </c>
      <c r="AB117" s="176">
        <v>2.9999999999999975E-2</v>
      </c>
      <c r="AC117" s="176">
        <v>2.9999999999999975E-2</v>
      </c>
      <c r="AD117" s="176">
        <v>2.9999999999999975E-2</v>
      </c>
      <c r="AE117" s="176">
        <v>2.9999999999999975E-2</v>
      </c>
      <c r="AF117" s="176">
        <v>2.9999999999999975E-2</v>
      </c>
      <c r="AG117" s="176">
        <v>2.9999999999999975E-2</v>
      </c>
      <c r="AH117" s="176">
        <v>2.9999999999999975E-2</v>
      </c>
      <c r="AI117" s="176">
        <v>2.9999999999999975E-2</v>
      </c>
      <c r="AJ117" s="176">
        <v>2.9999999999999975E-2</v>
      </c>
      <c r="AK117" s="176">
        <v>2.9999999999999975E-2</v>
      </c>
      <c r="AL117" s="176">
        <v>2.9999999999999975E-2</v>
      </c>
      <c r="AM117" s="176">
        <v>2.9999999999999975E-2</v>
      </c>
      <c r="AN117" s="176">
        <v>2.9999999999999975E-2</v>
      </c>
      <c r="AO117" s="176">
        <v>2.9999999999999975E-2</v>
      </c>
      <c r="AP117" s="176">
        <v>2.9999999999999975E-2</v>
      </c>
      <c r="AQ117" s="176">
        <v>2.9999999999999975E-2</v>
      </c>
      <c r="AR117" s="176">
        <v>2.9999999999999975E-2</v>
      </c>
      <c r="AS117" s="176">
        <v>2.9999999999999975E-2</v>
      </c>
      <c r="AT117" s="176">
        <v>2.9999999999999975E-2</v>
      </c>
      <c r="AU117" s="176">
        <v>2.9999999999999975E-2</v>
      </c>
      <c r="AV117" s="176">
        <v>2.9999999999999975E-2</v>
      </c>
      <c r="AW117" s="176">
        <v>2.9999999999999975E-2</v>
      </c>
      <c r="AX117" s="176">
        <v>2.9999999999999975E-2</v>
      </c>
      <c r="AY117" s="176">
        <v>2.9999999999999975E-2</v>
      </c>
      <c r="AZ117" s="33">
        <v>2.9999999999999975E-2</v>
      </c>
    </row>
    <row r="118" spans="1:53" s="41" customFormat="1">
      <c r="A118" s="574"/>
      <c r="B118" s="224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  <c r="AT118" s="176"/>
      <c r="AU118" s="176"/>
      <c r="AV118" s="176"/>
      <c r="AW118" s="176"/>
      <c r="AX118" s="176"/>
      <c r="AY118" s="176"/>
      <c r="AZ118" s="16"/>
    </row>
    <row r="119" spans="1:53">
      <c r="A119" s="570" t="s">
        <v>120</v>
      </c>
      <c r="B119" s="97" t="s">
        <v>134</v>
      </c>
      <c r="C119" s="188">
        <f t="shared" ref="C119:AH119" si="20">INDEX($B$120:$AZ$121,MATCH($B$119,$B$120:$B$121,0),C7+1)</f>
        <v>21440.181789683233</v>
      </c>
      <c r="D119" s="188">
        <f t="shared" si="20"/>
        <v>70157.35402334157</v>
      </c>
      <c r="E119" s="188">
        <f t="shared" si="20"/>
        <v>143758.74324353226</v>
      </c>
      <c r="F119" s="188">
        <f t="shared" si="20"/>
        <v>240574.85737414789</v>
      </c>
      <c r="G119" s="188">
        <f t="shared" si="20"/>
        <v>353117.16957214178</v>
      </c>
      <c r="H119" s="188">
        <f t="shared" si="20"/>
        <v>472265.56574066699</v>
      </c>
      <c r="I119" s="188">
        <f t="shared" si="20"/>
        <v>583855.5940652797</v>
      </c>
      <c r="J119" s="188">
        <f t="shared" si="20"/>
        <v>692266.16208168352</v>
      </c>
      <c r="K119" s="188">
        <f t="shared" si="20"/>
        <v>778327.16745094885</v>
      </c>
      <c r="L119" s="188">
        <f t="shared" si="20"/>
        <v>840679.06293147721</v>
      </c>
      <c r="M119" s="188">
        <f t="shared" si="20"/>
        <v>892260.70100605977</v>
      </c>
      <c r="N119" s="188">
        <f t="shared" si="20"/>
        <v>937839.48141723138</v>
      </c>
      <c r="O119" s="188">
        <f t="shared" si="20"/>
        <v>979749.15365782345</v>
      </c>
      <c r="P119" s="188">
        <f t="shared" si="20"/>
        <v>1020572.0350602327</v>
      </c>
      <c r="Q119" s="188">
        <f t="shared" si="20"/>
        <v>1061394.9164626419</v>
      </c>
      <c r="R119" s="188">
        <f t="shared" si="20"/>
        <v>1102217.7978650513</v>
      </c>
      <c r="S119" s="188">
        <f t="shared" si="20"/>
        <v>1143040.6792674605</v>
      </c>
      <c r="T119" s="188">
        <f t="shared" si="20"/>
        <v>1183863.5606698697</v>
      </c>
      <c r="U119" s="188">
        <f t="shared" si="20"/>
        <v>1224686.4420722791</v>
      </c>
      <c r="V119" s="188">
        <f t="shared" si="20"/>
        <v>1265509.3234746882</v>
      </c>
      <c r="W119" s="188">
        <f t="shared" si="20"/>
        <v>1306332.2048770974</v>
      </c>
      <c r="X119" s="188">
        <f t="shared" si="20"/>
        <v>1347155.0862795068</v>
      </c>
      <c r="Y119" s="188">
        <f t="shared" si="20"/>
        <v>1387977.967681916</v>
      </c>
      <c r="Z119" s="188">
        <f t="shared" si="20"/>
        <v>1428800.8490843251</v>
      </c>
      <c r="AA119" s="188">
        <f t="shared" si="20"/>
        <v>1469623.7304867345</v>
      </c>
      <c r="AB119" s="188">
        <f t="shared" si="20"/>
        <v>1469623.7304867345</v>
      </c>
      <c r="AC119" s="188">
        <f t="shared" si="20"/>
        <v>1469623.7304867345</v>
      </c>
      <c r="AD119" s="188">
        <f t="shared" si="20"/>
        <v>1469623.7304867345</v>
      </c>
      <c r="AE119" s="188">
        <f t="shared" si="20"/>
        <v>1469623.7304867345</v>
      </c>
      <c r="AF119" s="188">
        <f t="shared" si="20"/>
        <v>1469623.7304867345</v>
      </c>
      <c r="AG119" s="188">
        <f t="shared" si="20"/>
        <v>1469623.7304867345</v>
      </c>
      <c r="AH119" s="188">
        <f t="shared" si="20"/>
        <v>1469623.7304867345</v>
      </c>
      <c r="AI119" s="188">
        <f t="shared" ref="AI119:AZ119" si="21">INDEX($B$120:$AZ$121,MATCH($B$119,$B$120:$B$121,0),AI7+1)</f>
        <v>1469623.7304867345</v>
      </c>
      <c r="AJ119" s="188">
        <f t="shared" si="21"/>
        <v>1469623.7304867345</v>
      </c>
      <c r="AK119" s="188">
        <f t="shared" si="21"/>
        <v>1469623.7304867345</v>
      </c>
      <c r="AL119" s="188">
        <f t="shared" si="21"/>
        <v>1469623.7304867345</v>
      </c>
      <c r="AM119" s="188">
        <f t="shared" si="21"/>
        <v>1469623.7304867345</v>
      </c>
      <c r="AN119" s="188">
        <f t="shared" si="21"/>
        <v>1469623.7304867345</v>
      </c>
      <c r="AO119" s="188">
        <f t="shared" si="21"/>
        <v>1469623.7304867345</v>
      </c>
      <c r="AP119" s="188">
        <f t="shared" si="21"/>
        <v>1469623.7304867345</v>
      </c>
      <c r="AQ119" s="188">
        <f t="shared" si="21"/>
        <v>1469623.7304867345</v>
      </c>
      <c r="AR119" s="188">
        <f t="shared" si="21"/>
        <v>1469623.7304867345</v>
      </c>
      <c r="AS119" s="188">
        <f t="shared" si="21"/>
        <v>1469623.7304867345</v>
      </c>
      <c r="AT119" s="188">
        <f t="shared" si="21"/>
        <v>1469623.7304867345</v>
      </c>
      <c r="AU119" s="188">
        <f t="shared" si="21"/>
        <v>1469623.7304867345</v>
      </c>
      <c r="AV119" s="188">
        <f t="shared" si="21"/>
        <v>1469623.7304867345</v>
      </c>
      <c r="AW119" s="188">
        <f t="shared" si="21"/>
        <v>1469623.7304867345</v>
      </c>
      <c r="AX119" s="188">
        <f t="shared" si="21"/>
        <v>1469623.7304867345</v>
      </c>
      <c r="AY119" s="188">
        <f t="shared" si="21"/>
        <v>1469623.7304867345</v>
      </c>
      <c r="AZ119" s="189">
        <f t="shared" si="21"/>
        <v>1469623.7304867345</v>
      </c>
    </row>
    <row r="120" spans="1:53" outlineLevel="1">
      <c r="A120" s="570"/>
      <c r="B120" s="181" t="s">
        <v>134</v>
      </c>
      <c r="C120" s="190">
        <f>C115*(SUM($C$105:C105)+SUM($C$110:C110))</f>
        <v>21440.181789683233</v>
      </c>
      <c r="D120" s="191">
        <f>D115*(SUM($C$105:D105)+SUM($C$110:D110))</f>
        <v>70157.35402334157</v>
      </c>
      <c r="E120" s="191">
        <f>E115*(SUM($C$105:E105)+SUM($C$110:E110))</f>
        <v>143758.74324353226</v>
      </c>
      <c r="F120" s="191">
        <f>F115*(SUM($C$105:F105)+SUM($C$110:F110))</f>
        <v>240574.85737414789</v>
      </c>
      <c r="G120" s="191">
        <f>G115*(SUM($C$105:G105)+SUM($C$110:G110))</f>
        <v>353117.16957214178</v>
      </c>
      <c r="H120" s="191">
        <f>H115*(SUM($C$105:H105)+SUM($C$110:H110))</f>
        <v>472265.56574066699</v>
      </c>
      <c r="I120" s="191">
        <f>I115*(SUM($C$105:I105)+SUM($C$110:I110))</f>
        <v>583855.5940652797</v>
      </c>
      <c r="J120" s="191">
        <f>J115*(SUM($C$105:J105)+SUM($C$110:J110))</f>
        <v>692266.16208168352</v>
      </c>
      <c r="K120" s="191">
        <f>K115*(SUM($C$105:K105)+SUM($C$110:K110))</f>
        <v>778327.16745094885</v>
      </c>
      <c r="L120" s="191">
        <f>L115*(SUM($C$105:L105)+SUM($C$110:L110))</f>
        <v>840679.06293147721</v>
      </c>
      <c r="M120" s="191">
        <f>M115*(SUM($C$105:M105)+SUM($C$110:M110))</f>
        <v>892260.70100605977</v>
      </c>
      <c r="N120" s="191">
        <f>N115*(SUM($C$105:N105)+SUM($C$110:N110))</f>
        <v>937839.48141723138</v>
      </c>
      <c r="O120" s="191">
        <f>O115*(SUM($C$105:O105)+SUM($C$110:O110))</f>
        <v>979749.15365782345</v>
      </c>
      <c r="P120" s="191">
        <f>P115*(SUM($C$105:P105)+SUM($C$110:P110))</f>
        <v>1020572.0350602327</v>
      </c>
      <c r="Q120" s="191">
        <f>Q115*(SUM($C$105:Q105)+SUM($C$110:Q110))</f>
        <v>1061394.9164626419</v>
      </c>
      <c r="R120" s="191">
        <f>R115*(SUM($C$105:R105)+SUM($C$110:R110))</f>
        <v>1102217.7978650513</v>
      </c>
      <c r="S120" s="191">
        <f>S115*(SUM($C$105:S105)+SUM($C$110:S110))</f>
        <v>1143040.6792674605</v>
      </c>
      <c r="T120" s="191">
        <f>T115*(SUM($C$105:T105)+SUM($C$110:T110))</f>
        <v>1183863.5606698697</v>
      </c>
      <c r="U120" s="191">
        <f>U115*(SUM($C$105:U105)+SUM($C$110:U110))</f>
        <v>1224686.4420722791</v>
      </c>
      <c r="V120" s="191">
        <f>V115*(SUM($C$105:V105)+SUM($C$110:V110))</f>
        <v>1265509.3234746882</v>
      </c>
      <c r="W120" s="191">
        <f>W115*(SUM($C$105:W105)+SUM($C$110:W110))</f>
        <v>1306332.2048770974</v>
      </c>
      <c r="X120" s="191">
        <f>X115*(SUM($C$105:X105)+SUM($C$110:X110))</f>
        <v>1347155.0862795068</v>
      </c>
      <c r="Y120" s="191">
        <f>Y115*(SUM($C$105:Y105)+SUM($C$110:Y110))</f>
        <v>1387977.967681916</v>
      </c>
      <c r="Z120" s="191">
        <f>Z115*(SUM($C$105:Z105)+SUM($C$110:Z110))</f>
        <v>1428800.8490843251</v>
      </c>
      <c r="AA120" s="191">
        <f>AA115*(SUM($C$105:AA105)+SUM($C$110:AA110))</f>
        <v>1469623.7304867345</v>
      </c>
      <c r="AB120" s="191">
        <f>AB115*(SUM($C$105:AB105)+SUM($C$110:AB110))</f>
        <v>1469623.7304867345</v>
      </c>
      <c r="AC120" s="191">
        <f>AC115*(SUM($C$105:AC105)+SUM($C$110:AC110))</f>
        <v>1469623.7304867345</v>
      </c>
      <c r="AD120" s="191">
        <f>AD115*(SUM($C$105:AD105)+SUM($C$110:AD110))</f>
        <v>1469623.7304867345</v>
      </c>
      <c r="AE120" s="191">
        <f>AE115*(SUM($C$105:AE105)+SUM($C$110:AE110))</f>
        <v>1469623.7304867345</v>
      </c>
      <c r="AF120" s="191">
        <f>AF115*(SUM($C$105:AF105)+SUM($C$110:AF110))</f>
        <v>1469623.7304867345</v>
      </c>
      <c r="AG120" s="191">
        <f>AG115*(SUM($C$105:AG105)+SUM($C$110:AG110))</f>
        <v>1469623.7304867345</v>
      </c>
      <c r="AH120" s="191">
        <f>AH115*(SUM($C$105:AH105)+SUM($C$110:AH110))</f>
        <v>1469623.7304867345</v>
      </c>
      <c r="AI120" s="191">
        <f>AI115*(SUM($C$105:AI105)+SUM($C$110:AI110))</f>
        <v>1469623.7304867345</v>
      </c>
      <c r="AJ120" s="191">
        <f>AJ115*(SUM($C$105:AJ105)+SUM($C$110:AJ110))</f>
        <v>1469623.7304867345</v>
      </c>
      <c r="AK120" s="191">
        <f>AK115*(SUM($C$105:AK105)+SUM($C$110:AK110))</f>
        <v>1469623.7304867345</v>
      </c>
      <c r="AL120" s="191">
        <f>AL115*(SUM($C$105:AL105)+SUM($C$110:AL110))</f>
        <v>1469623.7304867345</v>
      </c>
      <c r="AM120" s="191">
        <f>AM115*(SUM($C$105:AM105)+SUM($C$110:AM110))</f>
        <v>1469623.7304867345</v>
      </c>
      <c r="AN120" s="191">
        <f>AN115*(SUM($C$105:AN105)+SUM($C$110:AN110))</f>
        <v>1469623.7304867345</v>
      </c>
      <c r="AO120" s="191">
        <f>AO115*(SUM($C$105:AO105)+SUM($C$110:AO110))</f>
        <v>1469623.7304867345</v>
      </c>
      <c r="AP120" s="191">
        <f>AP115*(SUM($C$105:AP105)+SUM($C$110:AP110))</f>
        <v>1469623.7304867345</v>
      </c>
      <c r="AQ120" s="191">
        <f>AQ115*(SUM($C$105:AQ105)+SUM($C$110:AQ110))</f>
        <v>1469623.7304867345</v>
      </c>
      <c r="AR120" s="191">
        <f>AR115*(SUM($C$105:AR105)+SUM($C$110:AR110))</f>
        <v>1469623.7304867345</v>
      </c>
      <c r="AS120" s="191">
        <f>AS115*(SUM($C$105:AS105)+SUM($C$110:AS110))</f>
        <v>1469623.7304867345</v>
      </c>
      <c r="AT120" s="191">
        <f>AT115*(SUM($C$105:AT105)+SUM($C$110:AT110))</f>
        <v>1469623.7304867345</v>
      </c>
      <c r="AU120" s="191">
        <f>AU115*(SUM($C$105:AU105)+SUM($C$110:AU110))</f>
        <v>1469623.7304867345</v>
      </c>
      <c r="AV120" s="191">
        <f>AV115*(SUM($C$105:AV105)+SUM($C$110:AV110))</f>
        <v>1469623.7304867345</v>
      </c>
      <c r="AW120" s="191">
        <f>AW115*(SUM($C$105:AW105)+SUM($C$110:AW110))</f>
        <v>1469623.7304867345</v>
      </c>
      <c r="AX120" s="191">
        <f>AX115*(SUM($C$105:AX105)+SUM($C$110:AX110))</f>
        <v>1469623.7304867345</v>
      </c>
      <c r="AY120" s="191">
        <f>AY115*(SUM($C$105:AY105)+SUM($C$110:AY110))</f>
        <v>1469623.7304867345</v>
      </c>
      <c r="AZ120" s="192">
        <f>AZ115*(SUM($C$105:AZ105)+SUM($C$110:AZ110))</f>
        <v>1469623.7304867345</v>
      </c>
    </row>
    <row r="121" spans="1:53" outlineLevel="1">
      <c r="A121" s="570"/>
      <c r="B121" s="181" t="s">
        <v>121</v>
      </c>
      <c r="C121" s="44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6"/>
    </row>
    <row r="122" spans="1:53">
      <c r="A122" s="570"/>
      <c r="B122" s="181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</row>
    <row r="123" spans="1:53" s="41" customFormat="1">
      <c r="A123" s="570" t="s">
        <v>87</v>
      </c>
      <c r="B123" s="98" t="s">
        <v>78</v>
      </c>
      <c r="C123" s="184">
        <f t="shared" ref="C123:AH123" si="22">C105+C110+C119</f>
        <v>2165458.3607580066</v>
      </c>
      <c r="D123" s="168">
        <f t="shared" si="22"/>
        <v>4402202.6233634716</v>
      </c>
      <c r="E123" s="168">
        <f t="shared" si="22"/>
        <v>5989873.2872378435</v>
      </c>
      <c r="F123" s="168">
        <f t="shared" si="22"/>
        <v>7164385.4550032122</v>
      </c>
      <c r="G123" s="168">
        <f t="shared" si="22"/>
        <v>7590916.2975509465</v>
      </c>
      <c r="H123" s="168">
        <f t="shared" si="22"/>
        <v>7324870.7236418147</v>
      </c>
      <c r="I123" s="168">
        <f t="shared" si="22"/>
        <v>6171168.9892721437</v>
      </c>
      <c r="J123" s="168">
        <f t="shared" si="22"/>
        <v>5490633.285695672</v>
      </c>
      <c r="K123" s="168">
        <f t="shared" si="22"/>
        <v>3755883.8198752422</v>
      </c>
      <c r="L123" s="168">
        <f t="shared" si="22"/>
        <v>2179852.6119589629</v>
      </c>
      <c r="M123" s="168">
        <f t="shared" si="22"/>
        <v>1522222.6143430988</v>
      </c>
      <c r="N123" s="168">
        <f t="shared" si="22"/>
        <v>1199829.5241991647</v>
      </c>
      <c r="O123" s="168">
        <f t="shared" si="22"/>
        <v>1036451.2843456276</v>
      </c>
      <c r="P123" s="168">
        <f t="shared" si="22"/>
        <v>1020572.0350602327</v>
      </c>
      <c r="Q123" s="168">
        <f t="shared" si="22"/>
        <v>1061394.9164626419</v>
      </c>
      <c r="R123" s="185">
        <f t="shared" si="22"/>
        <v>1102217.7978650513</v>
      </c>
      <c r="S123" s="185">
        <f t="shared" si="22"/>
        <v>1143040.6792674605</v>
      </c>
      <c r="T123" s="185">
        <f t="shared" si="22"/>
        <v>1183863.5606698697</v>
      </c>
      <c r="U123" s="185">
        <f t="shared" si="22"/>
        <v>1224686.4420722791</v>
      </c>
      <c r="V123" s="185">
        <f t="shared" si="22"/>
        <v>1265509.3234746882</v>
      </c>
      <c r="W123" s="185">
        <f t="shared" si="22"/>
        <v>1306332.2048770974</v>
      </c>
      <c r="X123" s="185">
        <f t="shared" si="22"/>
        <v>1347155.0862795068</v>
      </c>
      <c r="Y123" s="185">
        <f t="shared" si="22"/>
        <v>1387977.967681916</v>
      </c>
      <c r="Z123" s="185">
        <f t="shared" si="22"/>
        <v>1428800.8490843251</v>
      </c>
      <c r="AA123" s="185">
        <f t="shared" si="22"/>
        <v>1469623.7304867345</v>
      </c>
      <c r="AB123" s="185">
        <f t="shared" si="22"/>
        <v>1469623.7304867345</v>
      </c>
      <c r="AC123" s="185">
        <f t="shared" si="22"/>
        <v>1469623.7304867345</v>
      </c>
      <c r="AD123" s="185">
        <f t="shared" si="22"/>
        <v>1469623.7304867345</v>
      </c>
      <c r="AE123" s="185">
        <f t="shared" si="22"/>
        <v>1469623.7304867345</v>
      </c>
      <c r="AF123" s="185">
        <f t="shared" si="22"/>
        <v>1469623.7304867345</v>
      </c>
      <c r="AG123" s="185">
        <f t="shared" si="22"/>
        <v>1469623.7304867345</v>
      </c>
      <c r="AH123" s="185">
        <f t="shared" si="22"/>
        <v>1469623.7304867345</v>
      </c>
      <c r="AI123" s="185">
        <f t="shared" ref="AI123:AZ123" si="23">AI105+AI110+AI119</f>
        <v>1469623.7304867345</v>
      </c>
      <c r="AJ123" s="185">
        <f t="shared" si="23"/>
        <v>1469623.7304867345</v>
      </c>
      <c r="AK123" s="185">
        <f t="shared" si="23"/>
        <v>1469623.7304867345</v>
      </c>
      <c r="AL123" s="185">
        <f t="shared" si="23"/>
        <v>1469623.7304867345</v>
      </c>
      <c r="AM123" s="185">
        <f t="shared" si="23"/>
        <v>1469623.7304867345</v>
      </c>
      <c r="AN123" s="185">
        <f t="shared" si="23"/>
        <v>1469623.7304867345</v>
      </c>
      <c r="AO123" s="185">
        <f t="shared" si="23"/>
        <v>1469623.7304867345</v>
      </c>
      <c r="AP123" s="185">
        <f t="shared" si="23"/>
        <v>1469623.7304867345</v>
      </c>
      <c r="AQ123" s="185">
        <f t="shared" si="23"/>
        <v>1469623.7304867345</v>
      </c>
      <c r="AR123" s="185">
        <f t="shared" si="23"/>
        <v>1469623.7304867345</v>
      </c>
      <c r="AS123" s="185">
        <f t="shared" si="23"/>
        <v>1469623.7304867345</v>
      </c>
      <c r="AT123" s="185">
        <f t="shared" si="23"/>
        <v>1469623.7304867345</v>
      </c>
      <c r="AU123" s="185">
        <f t="shared" si="23"/>
        <v>1469623.7304867345</v>
      </c>
      <c r="AV123" s="185">
        <f t="shared" si="23"/>
        <v>1469623.7304867345</v>
      </c>
      <c r="AW123" s="185">
        <f t="shared" si="23"/>
        <v>1469623.7304867345</v>
      </c>
      <c r="AX123" s="185">
        <f t="shared" si="23"/>
        <v>1469623.7304867345</v>
      </c>
      <c r="AY123" s="185">
        <f t="shared" si="23"/>
        <v>1469623.7304867345</v>
      </c>
      <c r="AZ123" s="186">
        <f t="shared" si="23"/>
        <v>1469623.7304867345</v>
      </c>
    </row>
    <row r="124" spans="1:53" s="41" customFormat="1">
      <c r="A124" s="226"/>
      <c r="B124" s="240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535"/>
    </row>
    <row r="125" spans="1:53">
      <c r="A125" s="562" t="s">
        <v>173</v>
      </c>
      <c r="B125" s="1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</row>
    <row r="126" spans="1:53">
      <c r="A126" s="99"/>
      <c r="B126" s="38"/>
      <c r="C126" s="596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</row>
    <row r="127" spans="1:53">
      <c r="A127" s="570" t="s">
        <v>190</v>
      </c>
      <c r="B127" s="161" t="s">
        <v>192</v>
      </c>
      <c r="C127" s="140">
        <f>INDEX($B$128:$AZ$129,MATCH($B$127,$B$128:$B$129,0),C7+1)</f>
        <v>0.01</v>
      </c>
      <c r="D127" s="141">
        <f t="shared" ref="D127:AZ127" si="24">INDEX($B$128:$AZ$129,MATCH($B$127,$B$128:$B$129,0),D7+1)</f>
        <v>0.01</v>
      </c>
      <c r="E127" s="141">
        <f t="shared" si="24"/>
        <v>0.01</v>
      </c>
      <c r="F127" s="141">
        <f t="shared" si="24"/>
        <v>0.01</v>
      </c>
      <c r="G127" s="141">
        <f t="shared" si="24"/>
        <v>0.01</v>
      </c>
      <c r="H127" s="141">
        <f t="shared" si="24"/>
        <v>0.01</v>
      </c>
      <c r="I127" s="141">
        <f t="shared" si="24"/>
        <v>0.01</v>
      </c>
      <c r="J127" s="141">
        <f t="shared" si="24"/>
        <v>0.01</v>
      </c>
      <c r="K127" s="141">
        <f t="shared" si="24"/>
        <v>0.01</v>
      </c>
      <c r="L127" s="141">
        <f t="shared" si="24"/>
        <v>0.01</v>
      </c>
      <c r="M127" s="141">
        <f t="shared" si="24"/>
        <v>0.01</v>
      </c>
      <c r="N127" s="141">
        <f t="shared" si="24"/>
        <v>0.01</v>
      </c>
      <c r="O127" s="141">
        <f t="shared" si="24"/>
        <v>0.01</v>
      </c>
      <c r="P127" s="141">
        <f t="shared" si="24"/>
        <v>0.01</v>
      </c>
      <c r="Q127" s="141">
        <f t="shared" si="24"/>
        <v>0.01</v>
      </c>
      <c r="R127" s="141">
        <f t="shared" si="24"/>
        <v>0.01</v>
      </c>
      <c r="S127" s="141">
        <f t="shared" si="24"/>
        <v>0.01</v>
      </c>
      <c r="T127" s="141">
        <f t="shared" si="24"/>
        <v>0.01</v>
      </c>
      <c r="U127" s="141">
        <f t="shared" si="24"/>
        <v>0.01</v>
      </c>
      <c r="V127" s="141">
        <f t="shared" si="24"/>
        <v>0.01</v>
      </c>
      <c r="W127" s="141">
        <f t="shared" si="24"/>
        <v>0.01</v>
      </c>
      <c r="X127" s="141">
        <f t="shared" si="24"/>
        <v>0.01</v>
      </c>
      <c r="Y127" s="141">
        <f t="shared" si="24"/>
        <v>0.01</v>
      </c>
      <c r="Z127" s="141">
        <f t="shared" si="24"/>
        <v>0.01</v>
      </c>
      <c r="AA127" s="141">
        <f t="shared" si="24"/>
        <v>0.01</v>
      </c>
      <c r="AB127" s="141">
        <f t="shared" si="24"/>
        <v>0.01</v>
      </c>
      <c r="AC127" s="141">
        <f t="shared" si="24"/>
        <v>0.01</v>
      </c>
      <c r="AD127" s="141">
        <f t="shared" si="24"/>
        <v>0.01</v>
      </c>
      <c r="AE127" s="141">
        <f t="shared" si="24"/>
        <v>0.01</v>
      </c>
      <c r="AF127" s="141">
        <f t="shared" si="24"/>
        <v>0.01</v>
      </c>
      <c r="AG127" s="141">
        <f t="shared" si="24"/>
        <v>0.01</v>
      </c>
      <c r="AH127" s="141">
        <f t="shared" si="24"/>
        <v>0.01</v>
      </c>
      <c r="AI127" s="141">
        <f t="shared" si="24"/>
        <v>0.01</v>
      </c>
      <c r="AJ127" s="141">
        <f t="shared" si="24"/>
        <v>0.01</v>
      </c>
      <c r="AK127" s="141">
        <f t="shared" si="24"/>
        <v>0.01</v>
      </c>
      <c r="AL127" s="141">
        <f t="shared" si="24"/>
        <v>0.01</v>
      </c>
      <c r="AM127" s="141">
        <f t="shared" si="24"/>
        <v>0.01</v>
      </c>
      <c r="AN127" s="141">
        <f t="shared" si="24"/>
        <v>0.01</v>
      </c>
      <c r="AO127" s="141">
        <f t="shared" si="24"/>
        <v>0.01</v>
      </c>
      <c r="AP127" s="141">
        <f t="shared" si="24"/>
        <v>0.01</v>
      </c>
      <c r="AQ127" s="141">
        <f t="shared" si="24"/>
        <v>0.01</v>
      </c>
      <c r="AR127" s="141">
        <f t="shared" si="24"/>
        <v>0.01</v>
      </c>
      <c r="AS127" s="141">
        <f t="shared" si="24"/>
        <v>0.01</v>
      </c>
      <c r="AT127" s="141">
        <f t="shared" si="24"/>
        <v>0.01</v>
      </c>
      <c r="AU127" s="141">
        <f t="shared" si="24"/>
        <v>0.01</v>
      </c>
      <c r="AV127" s="141">
        <f t="shared" si="24"/>
        <v>0.01</v>
      </c>
      <c r="AW127" s="141">
        <f t="shared" si="24"/>
        <v>0.01</v>
      </c>
      <c r="AX127" s="141">
        <f t="shared" si="24"/>
        <v>0.01</v>
      </c>
      <c r="AY127" s="141">
        <f t="shared" si="24"/>
        <v>0.01</v>
      </c>
      <c r="AZ127" s="142">
        <f t="shared" si="24"/>
        <v>0.01</v>
      </c>
    </row>
    <row r="128" spans="1:53" outlineLevel="1">
      <c r="A128" s="570"/>
      <c r="B128" s="10" t="s">
        <v>192</v>
      </c>
      <c r="C128" s="16">
        <v>0.01</v>
      </c>
      <c r="D128" s="176">
        <v>0.01</v>
      </c>
      <c r="E128" s="176">
        <v>0.01</v>
      </c>
      <c r="F128" s="176">
        <v>0.01</v>
      </c>
      <c r="G128" s="176">
        <v>0.01</v>
      </c>
      <c r="H128" s="176">
        <v>0.01</v>
      </c>
      <c r="I128" s="176">
        <v>0.01</v>
      </c>
      <c r="J128" s="176">
        <v>0.01</v>
      </c>
      <c r="K128" s="176">
        <v>0.01</v>
      </c>
      <c r="L128" s="176">
        <v>0.01</v>
      </c>
      <c r="M128" s="176">
        <v>0.01</v>
      </c>
      <c r="N128" s="176">
        <v>0.01</v>
      </c>
      <c r="O128" s="176">
        <v>0.01</v>
      </c>
      <c r="P128" s="176">
        <v>0.01</v>
      </c>
      <c r="Q128" s="176">
        <v>0.01</v>
      </c>
      <c r="R128" s="176">
        <v>0.01</v>
      </c>
      <c r="S128" s="176">
        <v>0.01</v>
      </c>
      <c r="T128" s="176">
        <v>0.01</v>
      </c>
      <c r="U128" s="176">
        <v>0.01</v>
      </c>
      <c r="V128" s="176">
        <v>0.01</v>
      </c>
      <c r="W128" s="176">
        <v>0.01</v>
      </c>
      <c r="X128" s="176">
        <v>0.01</v>
      </c>
      <c r="Y128" s="176">
        <v>0.01</v>
      </c>
      <c r="Z128" s="176">
        <v>0.01</v>
      </c>
      <c r="AA128" s="176">
        <v>0.01</v>
      </c>
      <c r="AB128" s="176">
        <v>0.01</v>
      </c>
      <c r="AC128" s="176">
        <v>0.01</v>
      </c>
      <c r="AD128" s="176">
        <v>0.01</v>
      </c>
      <c r="AE128" s="176">
        <v>0.01</v>
      </c>
      <c r="AF128" s="176">
        <v>0.01</v>
      </c>
      <c r="AG128" s="176">
        <v>0.01</v>
      </c>
      <c r="AH128" s="176">
        <v>0.01</v>
      </c>
      <c r="AI128" s="176">
        <v>0.01</v>
      </c>
      <c r="AJ128" s="176">
        <v>0.01</v>
      </c>
      <c r="AK128" s="176">
        <v>0.01</v>
      </c>
      <c r="AL128" s="176">
        <v>0.01</v>
      </c>
      <c r="AM128" s="176">
        <v>0.01</v>
      </c>
      <c r="AN128" s="176">
        <v>0.01</v>
      </c>
      <c r="AO128" s="176">
        <v>0.01</v>
      </c>
      <c r="AP128" s="176">
        <v>0.01</v>
      </c>
      <c r="AQ128" s="176">
        <v>0.01</v>
      </c>
      <c r="AR128" s="176">
        <v>0.01</v>
      </c>
      <c r="AS128" s="176">
        <v>0.01</v>
      </c>
      <c r="AT128" s="176">
        <v>0.01</v>
      </c>
      <c r="AU128" s="176">
        <v>0.01</v>
      </c>
      <c r="AV128" s="176">
        <v>0.01</v>
      </c>
      <c r="AW128" s="176">
        <v>0.01</v>
      </c>
      <c r="AX128" s="176">
        <v>0.01</v>
      </c>
      <c r="AY128" s="176">
        <v>0.01</v>
      </c>
      <c r="AZ128" s="33">
        <v>0.01</v>
      </c>
    </row>
    <row r="129" spans="1:52" outlineLevel="1">
      <c r="A129" s="570"/>
      <c r="B129" s="10" t="s">
        <v>193</v>
      </c>
      <c r="C129" s="16">
        <v>0.02</v>
      </c>
      <c r="D129" s="176">
        <v>0.02</v>
      </c>
      <c r="E129" s="176">
        <v>0.02</v>
      </c>
      <c r="F129" s="176">
        <v>0.02</v>
      </c>
      <c r="G129" s="176">
        <v>0.02</v>
      </c>
      <c r="H129" s="176">
        <v>0.02</v>
      </c>
      <c r="I129" s="176">
        <v>0.02</v>
      </c>
      <c r="J129" s="176">
        <v>0.02</v>
      </c>
      <c r="K129" s="176">
        <v>0.02</v>
      </c>
      <c r="L129" s="176">
        <v>0.02</v>
      </c>
      <c r="M129" s="176">
        <v>0.02</v>
      </c>
      <c r="N129" s="176">
        <v>0.02</v>
      </c>
      <c r="O129" s="176">
        <v>0.02</v>
      </c>
      <c r="P129" s="176">
        <v>0.02</v>
      </c>
      <c r="Q129" s="176">
        <v>0.02</v>
      </c>
      <c r="R129" s="176">
        <v>0.02</v>
      </c>
      <c r="S129" s="176">
        <v>0.02</v>
      </c>
      <c r="T129" s="176">
        <v>0.02</v>
      </c>
      <c r="U129" s="176">
        <v>0.02</v>
      </c>
      <c r="V129" s="176">
        <v>0.02</v>
      </c>
      <c r="W129" s="176">
        <v>0.02</v>
      </c>
      <c r="X129" s="176">
        <v>0.02</v>
      </c>
      <c r="Y129" s="176">
        <v>0.02</v>
      </c>
      <c r="Z129" s="176">
        <v>0.02</v>
      </c>
      <c r="AA129" s="600">
        <v>0.02</v>
      </c>
      <c r="AB129" s="176">
        <v>0.02</v>
      </c>
      <c r="AC129" s="176">
        <v>0.02</v>
      </c>
      <c r="AD129" s="176">
        <v>0.02</v>
      </c>
      <c r="AE129" s="176">
        <v>0.02</v>
      </c>
      <c r="AF129" s="176">
        <v>0.02</v>
      </c>
      <c r="AG129" s="176">
        <v>0.02</v>
      </c>
      <c r="AH129" s="176">
        <v>0.02</v>
      </c>
      <c r="AI129" s="176">
        <v>0.02</v>
      </c>
      <c r="AJ129" s="176">
        <v>0.02</v>
      </c>
      <c r="AK129" s="176">
        <v>0.02</v>
      </c>
      <c r="AL129" s="176">
        <v>0.02</v>
      </c>
      <c r="AM129" s="176">
        <v>0.02</v>
      </c>
      <c r="AN129" s="176">
        <v>0.02</v>
      </c>
      <c r="AO129" s="176">
        <v>0.02</v>
      </c>
      <c r="AP129" s="176">
        <v>0.02</v>
      </c>
      <c r="AQ129" s="176">
        <v>0.02</v>
      </c>
      <c r="AR129" s="176">
        <v>0.02</v>
      </c>
      <c r="AS129" s="176">
        <v>0.02</v>
      </c>
      <c r="AT129" s="176">
        <v>0.02</v>
      </c>
      <c r="AU129" s="176">
        <v>0.02</v>
      </c>
      <c r="AV129" s="176">
        <v>0.02</v>
      </c>
      <c r="AW129" s="176">
        <v>0.02</v>
      </c>
      <c r="AX129" s="176">
        <v>0.02</v>
      </c>
      <c r="AY129" s="176">
        <v>0.02</v>
      </c>
      <c r="AZ129" s="33">
        <v>0.02</v>
      </c>
    </row>
    <row r="130" spans="1:52">
      <c r="A130" s="570"/>
      <c r="B130" s="194"/>
      <c r="C130" s="198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7"/>
      <c r="AU130" s="227"/>
      <c r="AV130" s="227"/>
      <c r="AW130" s="227"/>
      <c r="AX130" s="227"/>
      <c r="AY130" s="227"/>
      <c r="AZ130" s="599"/>
    </row>
    <row r="131" spans="1:52">
      <c r="A131" s="570" t="s">
        <v>124</v>
      </c>
      <c r="B131" s="161" t="s">
        <v>134</v>
      </c>
      <c r="C131" s="188">
        <f t="shared" ref="C131:AH131" si="25">INDEX(Charges_d_exploitation,MATCH($B$131,$B$132:$B$133,0),C7+1)</f>
        <v>21654.583607580065</v>
      </c>
      <c r="D131" s="188">
        <f t="shared" si="25"/>
        <v>65676.609841214784</v>
      </c>
      <c r="E131" s="188">
        <f t="shared" si="25"/>
        <v>125575.34271359321</v>
      </c>
      <c r="F131" s="188">
        <f t="shared" si="25"/>
        <v>197219.19726362533</v>
      </c>
      <c r="G131" s="188">
        <f t="shared" si="25"/>
        <v>273128.36023913481</v>
      </c>
      <c r="H131" s="188">
        <f t="shared" si="25"/>
        <v>346377.06747555296</v>
      </c>
      <c r="I131" s="188">
        <f t="shared" si="25"/>
        <v>408088.75736827432</v>
      </c>
      <c r="J131" s="188">
        <f t="shared" si="25"/>
        <v>462995.09022523108</v>
      </c>
      <c r="K131" s="188">
        <f t="shared" si="25"/>
        <v>500553.92842398345</v>
      </c>
      <c r="L131" s="188">
        <f t="shared" si="25"/>
        <v>522352.45454357314</v>
      </c>
      <c r="M131" s="188">
        <f t="shared" si="25"/>
        <v>537574.68068700412</v>
      </c>
      <c r="N131" s="188">
        <f t="shared" si="25"/>
        <v>549572.97592899576</v>
      </c>
      <c r="O131" s="188">
        <f t="shared" si="25"/>
        <v>559937.48877245199</v>
      </c>
      <c r="P131" s="188">
        <f t="shared" si="25"/>
        <v>570143.2091230544</v>
      </c>
      <c r="Q131" s="188">
        <f t="shared" si="25"/>
        <v>580757.15828768082</v>
      </c>
      <c r="R131" s="188">
        <f t="shared" si="25"/>
        <v>591779.33626633126</v>
      </c>
      <c r="S131" s="188">
        <f t="shared" si="25"/>
        <v>603209.74305900594</v>
      </c>
      <c r="T131" s="188">
        <f t="shared" si="25"/>
        <v>615048.37866570463</v>
      </c>
      <c r="U131" s="188">
        <f t="shared" si="25"/>
        <v>627295.24308642733</v>
      </c>
      <c r="V131" s="188">
        <f t="shared" si="25"/>
        <v>639950.33632117428</v>
      </c>
      <c r="W131" s="188">
        <f t="shared" si="25"/>
        <v>653013.65836994525</v>
      </c>
      <c r="X131" s="188">
        <f t="shared" si="25"/>
        <v>666485.20923274034</v>
      </c>
      <c r="Y131" s="188">
        <f t="shared" si="25"/>
        <v>680364.98890955956</v>
      </c>
      <c r="Z131" s="188">
        <f t="shared" si="25"/>
        <v>694652.99740040279</v>
      </c>
      <c r="AA131" s="188">
        <f t="shared" si="25"/>
        <v>709349.23470527015</v>
      </c>
      <c r="AB131" s="188">
        <f t="shared" si="25"/>
        <v>724045.4720101374</v>
      </c>
      <c r="AC131" s="188">
        <f t="shared" si="25"/>
        <v>738741.70931500476</v>
      </c>
      <c r="AD131" s="188">
        <f t="shared" si="25"/>
        <v>753437.94661987212</v>
      </c>
      <c r="AE131" s="188">
        <f t="shared" si="25"/>
        <v>768134.18392473948</v>
      </c>
      <c r="AF131" s="188">
        <f t="shared" si="25"/>
        <v>782830.42122960684</v>
      </c>
      <c r="AG131" s="188">
        <f t="shared" si="25"/>
        <v>797526.65853447421</v>
      </c>
      <c r="AH131" s="188">
        <f t="shared" si="25"/>
        <v>812222.89583934157</v>
      </c>
      <c r="AI131" s="188">
        <f t="shared" ref="AI131:AZ131" si="26">INDEX(Charges_d_exploitation,MATCH($B$131,$B$132:$B$133,0),AI7+1)</f>
        <v>826919.13314420893</v>
      </c>
      <c r="AJ131" s="188">
        <f t="shared" si="26"/>
        <v>841615.37044907629</v>
      </c>
      <c r="AK131" s="188">
        <f t="shared" si="26"/>
        <v>856311.60775394365</v>
      </c>
      <c r="AL131" s="188">
        <f t="shared" si="26"/>
        <v>871007.84505881101</v>
      </c>
      <c r="AM131" s="188">
        <f t="shared" si="26"/>
        <v>885704.08236367838</v>
      </c>
      <c r="AN131" s="188">
        <f t="shared" si="26"/>
        <v>900400.31966854574</v>
      </c>
      <c r="AO131" s="188">
        <f t="shared" si="26"/>
        <v>915096.5569734131</v>
      </c>
      <c r="AP131" s="188">
        <f t="shared" si="26"/>
        <v>929792.79427828046</v>
      </c>
      <c r="AQ131" s="188">
        <f t="shared" si="26"/>
        <v>944489.03158314782</v>
      </c>
      <c r="AR131" s="188">
        <f t="shared" si="26"/>
        <v>959185.26888801518</v>
      </c>
      <c r="AS131" s="188">
        <f t="shared" si="26"/>
        <v>973881.50619288255</v>
      </c>
      <c r="AT131" s="188">
        <f t="shared" si="26"/>
        <v>988577.74349774991</v>
      </c>
      <c r="AU131" s="188">
        <f t="shared" si="26"/>
        <v>1003273.9808026173</v>
      </c>
      <c r="AV131" s="188">
        <f t="shared" si="26"/>
        <v>1017970.2181074846</v>
      </c>
      <c r="AW131" s="188">
        <f t="shared" si="26"/>
        <v>1032666.455412352</v>
      </c>
      <c r="AX131" s="188">
        <f t="shared" si="26"/>
        <v>1047362.6927172194</v>
      </c>
      <c r="AY131" s="188">
        <f t="shared" si="26"/>
        <v>1062058.9300220867</v>
      </c>
      <c r="AZ131" s="189">
        <f t="shared" si="26"/>
        <v>1076755.167326954</v>
      </c>
    </row>
    <row r="132" spans="1:52" outlineLevel="1">
      <c r="A132" s="99"/>
      <c r="B132" s="39" t="s">
        <v>134</v>
      </c>
      <c r="C132" s="195">
        <f>C127*SUM($C$123:C123)</f>
        <v>21654.583607580065</v>
      </c>
      <c r="D132" s="196">
        <f>D127*SUM($C$123:D123)</f>
        <v>65676.609841214784</v>
      </c>
      <c r="E132" s="196">
        <f>E127*SUM($C$123:E123)</f>
        <v>125575.34271359321</v>
      </c>
      <c r="F132" s="196">
        <f>F127*SUM($C$123:F123)</f>
        <v>197219.19726362533</v>
      </c>
      <c r="G132" s="196">
        <f>G127*SUM($C$123:G123)</f>
        <v>273128.36023913481</v>
      </c>
      <c r="H132" s="196">
        <f>H127*SUM($C$123:H123)</f>
        <v>346377.06747555296</v>
      </c>
      <c r="I132" s="196">
        <f>I127*SUM($C$123:I123)</f>
        <v>408088.75736827432</v>
      </c>
      <c r="J132" s="196">
        <f>J127*SUM($C$123:J123)</f>
        <v>462995.09022523108</v>
      </c>
      <c r="K132" s="196">
        <f>K127*SUM($C$123:K123)</f>
        <v>500553.92842398345</v>
      </c>
      <c r="L132" s="196">
        <f>L127*SUM($C$123:L123)</f>
        <v>522352.45454357314</v>
      </c>
      <c r="M132" s="196">
        <f>M127*SUM($C$123:M123)</f>
        <v>537574.68068700412</v>
      </c>
      <c r="N132" s="196">
        <f>N127*SUM($C$123:N123)</f>
        <v>549572.97592899576</v>
      </c>
      <c r="O132" s="196">
        <f>O127*SUM($C$123:O123)</f>
        <v>559937.48877245199</v>
      </c>
      <c r="P132" s="196">
        <f>P127*SUM($C$123:P123)</f>
        <v>570143.2091230544</v>
      </c>
      <c r="Q132" s="196">
        <f>Q127*SUM($C$123:Q123)</f>
        <v>580757.15828768082</v>
      </c>
      <c r="R132" s="196">
        <f>R127*SUM($C$123:R123)</f>
        <v>591779.33626633126</v>
      </c>
      <c r="S132" s="196">
        <f>S127*SUM($C$123:S123)</f>
        <v>603209.74305900594</v>
      </c>
      <c r="T132" s="196">
        <f>T127*SUM($C$123:T123)</f>
        <v>615048.37866570463</v>
      </c>
      <c r="U132" s="196">
        <f>U127*SUM($C$123:U123)</f>
        <v>627295.24308642733</v>
      </c>
      <c r="V132" s="196">
        <f>V127*SUM($C$123:V123)</f>
        <v>639950.33632117428</v>
      </c>
      <c r="W132" s="196">
        <f>W127*SUM($C$123:W123)</f>
        <v>653013.65836994525</v>
      </c>
      <c r="X132" s="196">
        <f>X127*SUM($C$123:X123)</f>
        <v>666485.20923274034</v>
      </c>
      <c r="Y132" s="196">
        <f>Y127*SUM($C$123:Y123)</f>
        <v>680364.98890955956</v>
      </c>
      <c r="Z132" s="196">
        <f>Z127*SUM($C$123:Z123)</f>
        <v>694652.99740040279</v>
      </c>
      <c r="AA132" s="196">
        <f>AA127*SUM($C$123:AA123)</f>
        <v>709349.23470527015</v>
      </c>
      <c r="AB132" s="196">
        <f>AB127*SUM($C$123:AB123)</f>
        <v>724045.4720101374</v>
      </c>
      <c r="AC132" s="196">
        <f>AC127*SUM($C$123:AC123)</f>
        <v>738741.70931500476</v>
      </c>
      <c r="AD132" s="196">
        <f>AD127*SUM($C$123:AD123)</f>
        <v>753437.94661987212</v>
      </c>
      <c r="AE132" s="196">
        <f>AE127*SUM($C$123:AE123)</f>
        <v>768134.18392473948</v>
      </c>
      <c r="AF132" s="196">
        <f>AF127*SUM($C$123:AF123)</f>
        <v>782830.42122960684</v>
      </c>
      <c r="AG132" s="196">
        <f>AG127*SUM($C$123:AG123)</f>
        <v>797526.65853447421</v>
      </c>
      <c r="AH132" s="196">
        <f>AH127*SUM($C$123:AH123)</f>
        <v>812222.89583934157</v>
      </c>
      <c r="AI132" s="196">
        <f>AI127*SUM($C$123:AI123)</f>
        <v>826919.13314420893</v>
      </c>
      <c r="AJ132" s="196">
        <f>AJ127*SUM($C$123:AJ123)</f>
        <v>841615.37044907629</v>
      </c>
      <c r="AK132" s="196">
        <f>AK127*SUM($C$123:AK123)</f>
        <v>856311.60775394365</v>
      </c>
      <c r="AL132" s="196">
        <f>AL127*SUM($C$123:AL123)</f>
        <v>871007.84505881101</v>
      </c>
      <c r="AM132" s="196">
        <f>AM127*SUM($C$123:AM123)</f>
        <v>885704.08236367838</v>
      </c>
      <c r="AN132" s="196">
        <f>AN127*SUM($C$123:AN123)</f>
        <v>900400.31966854574</v>
      </c>
      <c r="AO132" s="196">
        <f>AO127*SUM($C$123:AO123)</f>
        <v>915096.5569734131</v>
      </c>
      <c r="AP132" s="196">
        <f>AP127*SUM($C$123:AP123)</f>
        <v>929792.79427828046</v>
      </c>
      <c r="AQ132" s="196">
        <f>AQ127*SUM($C$123:AQ123)</f>
        <v>944489.03158314782</v>
      </c>
      <c r="AR132" s="196">
        <f>AR127*SUM($C$123:AR123)</f>
        <v>959185.26888801518</v>
      </c>
      <c r="AS132" s="196">
        <f>AS127*SUM($C$123:AS123)</f>
        <v>973881.50619288255</v>
      </c>
      <c r="AT132" s="196">
        <f>AT127*SUM($C$123:AT123)</f>
        <v>988577.74349774991</v>
      </c>
      <c r="AU132" s="196">
        <f>AU127*SUM($C$123:AU123)</f>
        <v>1003273.9808026173</v>
      </c>
      <c r="AV132" s="196">
        <f>AV127*SUM($C$123:AV123)</f>
        <v>1017970.2181074846</v>
      </c>
      <c r="AW132" s="196">
        <f>AW127*SUM($C$123:AW123)</f>
        <v>1032666.455412352</v>
      </c>
      <c r="AX132" s="196">
        <f>AX127*SUM($C$123:AX123)</f>
        <v>1047362.6927172194</v>
      </c>
      <c r="AY132" s="196">
        <f>AY127*SUM($C$123:AY123)</f>
        <v>1062058.9300220867</v>
      </c>
      <c r="AZ132" s="197">
        <f>AZ127*SUM($C$123:AZ123)</f>
        <v>1076755.167326954</v>
      </c>
    </row>
    <row r="133" spans="1:52" outlineLevel="1">
      <c r="A133" s="99"/>
      <c r="B133" s="39" t="s">
        <v>123</v>
      </c>
      <c r="C133" s="44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6"/>
    </row>
    <row r="134" spans="1:52">
      <c r="A134" s="99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</row>
    <row r="135" spans="1:52">
      <c r="A135" s="562" t="s">
        <v>27</v>
      </c>
      <c r="B135" s="1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</row>
    <row r="136" spans="1:52">
      <c r="A136" s="99"/>
      <c r="B136" s="38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</row>
    <row r="137" spans="1:52" s="47" customFormat="1" ht="13.5" customHeight="1">
      <c r="A137" s="577" t="s">
        <v>195</v>
      </c>
      <c r="B137" s="161" t="s">
        <v>134</v>
      </c>
      <c r="C137" s="602">
        <f>INDEX($B$138:$AZ$139,MATCH($B$137,$B$138:$B$139,0),C7+1)</f>
        <v>2.3598477406709919</v>
      </c>
      <c r="D137" s="603">
        <f t="shared" ref="D137:AZ137" si="27">INDEX($B$138:$AZ$139,MATCH($B$137,$B$138:$B$139,0),D7+1)</f>
        <v>2.7</v>
      </c>
      <c r="E137" s="603">
        <f t="shared" si="27"/>
        <v>3.3</v>
      </c>
      <c r="F137" s="603">
        <f t="shared" si="27"/>
        <v>4.3109788845727763</v>
      </c>
      <c r="G137" s="603">
        <f t="shared" si="27"/>
        <v>6.0373468274943214</v>
      </c>
      <c r="H137" s="603">
        <f t="shared" si="27"/>
        <v>7.5093935739168698</v>
      </c>
      <c r="I137" s="603">
        <f t="shared" si="27"/>
        <v>9.1306059137761419</v>
      </c>
      <c r="J137" s="603">
        <f t="shared" si="27"/>
        <v>11.328865733808916</v>
      </c>
      <c r="K137" s="603">
        <f t="shared" si="27"/>
        <v>13.375883907386843</v>
      </c>
      <c r="L137" s="603">
        <f t="shared" si="27"/>
        <v>15.231929963107072</v>
      </c>
      <c r="M137" s="603">
        <f t="shared" si="27"/>
        <v>16.879685327502475</v>
      </c>
      <c r="N137" s="603">
        <f t="shared" si="27"/>
        <v>18.317205699447193</v>
      </c>
      <c r="O137" s="603">
        <f t="shared" si="27"/>
        <v>19.553150780422047</v>
      </c>
      <c r="P137" s="603">
        <f t="shared" si="27"/>
        <v>20.60326318239003</v>
      </c>
      <c r="Q137" s="603">
        <f t="shared" si="27"/>
        <v>21.486784440673294</v>
      </c>
      <c r="R137" s="603">
        <f t="shared" si="27"/>
        <v>22.224415951428892</v>
      </c>
      <c r="S137" s="603">
        <f t="shared" si="27"/>
        <v>22.835548062974979</v>
      </c>
      <c r="T137" s="603">
        <f t="shared" si="27"/>
        <v>23.337678794907305</v>
      </c>
      <c r="U137" s="603">
        <f t="shared" si="27"/>
        <v>23.747172843893566</v>
      </c>
      <c r="V137" s="603">
        <f t="shared" si="27"/>
        <v>24.077396983815497</v>
      </c>
      <c r="W137" s="603">
        <f t="shared" si="27"/>
        <v>24.340986653886407</v>
      </c>
      <c r="X137" s="603">
        <f t="shared" si="27"/>
        <v>24.547058719499724</v>
      </c>
      <c r="Y137" s="603">
        <f t="shared" si="27"/>
        <v>24.704288439898956</v>
      </c>
      <c r="Z137" s="603">
        <f t="shared" si="27"/>
        <v>24.819979964233632</v>
      </c>
      <c r="AA137" s="603">
        <f t="shared" si="27"/>
        <v>24.900138056735223</v>
      </c>
      <c r="AB137" s="603">
        <f t="shared" si="27"/>
        <v>25</v>
      </c>
      <c r="AC137" s="603">
        <f t="shared" si="27"/>
        <v>25</v>
      </c>
      <c r="AD137" s="603">
        <f t="shared" si="27"/>
        <v>25</v>
      </c>
      <c r="AE137" s="603">
        <f t="shared" si="27"/>
        <v>25</v>
      </c>
      <c r="AF137" s="603">
        <f t="shared" si="27"/>
        <v>25</v>
      </c>
      <c r="AG137" s="603">
        <f t="shared" si="27"/>
        <v>25</v>
      </c>
      <c r="AH137" s="603">
        <f t="shared" si="27"/>
        <v>25</v>
      </c>
      <c r="AI137" s="603">
        <f t="shared" si="27"/>
        <v>25</v>
      </c>
      <c r="AJ137" s="603">
        <f t="shared" si="27"/>
        <v>25</v>
      </c>
      <c r="AK137" s="603">
        <f t="shared" si="27"/>
        <v>25</v>
      </c>
      <c r="AL137" s="603">
        <f t="shared" si="27"/>
        <v>25</v>
      </c>
      <c r="AM137" s="603">
        <f t="shared" si="27"/>
        <v>25</v>
      </c>
      <c r="AN137" s="603">
        <f t="shared" si="27"/>
        <v>25</v>
      </c>
      <c r="AO137" s="603">
        <f t="shared" si="27"/>
        <v>25</v>
      </c>
      <c r="AP137" s="603">
        <f t="shared" si="27"/>
        <v>25</v>
      </c>
      <c r="AQ137" s="603">
        <f t="shared" si="27"/>
        <v>25</v>
      </c>
      <c r="AR137" s="603">
        <f t="shared" si="27"/>
        <v>25</v>
      </c>
      <c r="AS137" s="603">
        <f t="shared" si="27"/>
        <v>25</v>
      </c>
      <c r="AT137" s="603">
        <f t="shared" si="27"/>
        <v>25</v>
      </c>
      <c r="AU137" s="603">
        <f t="shared" si="27"/>
        <v>25</v>
      </c>
      <c r="AV137" s="603">
        <f t="shared" si="27"/>
        <v>25</v>
      </c>
      <c r="AW137" s="603">
        <f t="shared" si="27"/>
        <v>25</v>
      </c>
      <c r="AX137" s="603">
        <f t="shared" si="27"/>
        <v>25</v>
      </c>
      <c r="AY137" s="603">
        <f t="shared" si="27"/>
        <v>25</v>
      </c>
      <c r="AZ137" s="604">
        <f t="shared" si="27"/>
        <v>25</v>
      </c>
    </row>
    <row r="138" spans="1:52" s="47" customFormat="1" ht="13.5" customHeight="1" outlineLevel="1">
      <c r="A138" s="577"/>
      <c r="B138" s="609" t="s">
        <v>134</v>
      </c>
      <c r="C138" s="606">
        <v>2.3598477406709919</v>
      </c>
      <c r="D138" s="607">
        <v>2.7</v>
      </c>
      <c r="E138" s="607">
        <v>3.3</v>
      </c>
      <c r="F138" s="607">
        <v>4.3109788845727763</v>
      </c>
      <c r="G138" s="607">
        <v>6.0373468274943214</v>
      </c>
      <c r="H138" s="607">
        <v>7.5093935739168698</v>
      </c>
      <c r="I138" s="607">
        <v>9.1306059137761419</v>
      </c>
      <c r="J138" s="607">
        <v>11.328865733808916</v>
      </c>
      <c r="K138" s="607">
        <v>13.375883907386843</v>
      </c>
      <c r="L138" s="607">
        <v>15.231929963107072</v>
      </c>
      <c r="M138" s="607">
        <v>16.879685327502475</v>
      </c>
      <c r="N138" s="607">
        <v>18.317205699447193</v>
      </c>
      <c r="O138" s="607">
        <v>19.553150780422047</v>
      </c>
      <c r="P138" s="607">
        <v>20.60326318239003</v>
      </c>
      <c r="Q138" s="607">
        <v>21.486784440673294</v>
      </c>
      <c r="R138" s="607">
        <v>22.224415951428892</v>
      </c>
      <c r="S138" s="607">
        <v>22.835548062974979</v>
      </c>
      <c r="T138" s="607">
        <v>23.337678794907305</v>
      </c>
      <c r="U138" s="607">
        <v>23.747172843893566</v>
      </c>
      <c r="V138" s="607">
        <v>24.077396983815497</v>
      </c>
      <c r="W138" s="607">
        <v>24.340986653886407</v>
      </c>
      <c r="X138" s="607">
        <v>24.547058719499724</v>
      </c>
      <c r="Y138" s="607">
        <v>24.704288439898956</v>
      </c>
      <c r="Z138" s="607">
        <v>24.819979964233632</v>
      </c>
      <c r="AA138" s="607">
        <v>24.900138056735223</v>
      </c>
      <c r="AB138" s="607">
        <v>25</v>
      </c>
      <c r="AC138" s="607">
        <v>25</v>
      </c>
      <c r="AD138" s="607">
        <v>25</v>
      </c>
      <c r="AE138" s="607">
        <v>25</v>
      </c>
      <c r="AF138" s="607">
        <v>25</v>
      </c>
      <c r="AG138" s="607">
        <v>25</v>
      </c>
      <c r="AH138" s="607">
        <v>25</v>
      </c>
      <c r="AI138" s="607">
        <v>25</v>
      </c>
      <c r="AJ138" s="607">
        <v>25</v>
      </c>
      <c r="AK138" s="607">
        <v>25</v>
      </c>
      <c r="AL138" s="607">
        <v>25</v>
      </c>
      <c r="AM138" s="607">
        <v>25</v>
      </c>
      <c r="AN138" s="607">
        <v>25</v>
      </c>
      <c r="AO138" s="607">
        <v>25</v>
      </c>
      <c r="AP138" s="607">
        <v>25</v>
      </c>
      <c r="AQ138" s="607">
        <v>25</v>
      </c>
      <c r="AR138" s="607">
        <v>25</v>
      </c>
      <c r="AS138" s="607">
        <v>25</v>
      </c>
      <c r="AT138" s="607">
        <v>25</v>
      </c>
      <c r="AU138" s="607">
        <v>25</v>
      </c>
      <c r="AV138" s="607">
        <v>25</v>
      </c>
      <c r="AW138" s="607">
        <v>25</v>
      </c>
      <c r="AX138" s="607">
        <v>25</v>
      </c>
      <c r="AY138" s="607">
        <v>25</v>
      </c>
      <c r="AZ138" s="608">
        <v>25</v>
      </c>
    </row>
    <row r="139" spans="1:52" s="47" customFormat="1" outlineLevel="1">
      <c r="A139" s="100"/>
      <c r="B139" s="605" t="s">
        <v>149</v>
      </c>
      <c r="C139" s="606"/>
      <c r="D139" s="607"/>
      <c r="E139" s="607"/>
      <c r="F139" s="607"/>
      <c r="G139" s="607"/>
      <c r="H139" s="607"/>
      <c r="I139" s="607"/>
      <c r="J139" s="607"/>
      <c r="K139" s="607"/>
      <c r="L139" s="607"/>
      <c r="M139" s="607"/>
      <c r="N139" s="607"/>
      <c r="O139" s="607"/>
      <c r="P139" s="607"/>
      <c r="Q139" s="607"/>
      <c r="R139" s="607"/>
      <c r="S139" s="607"/>
      <c r="T139" s="607"/>
      <c r="U139" s="607"/>
      <c r="V139" s="607"/>
      <c r="W139" s="607"/>
      <c r="X139" s="607"/>
      <c r="Y139" s="607"/>
      <c r="Z139" s="607"/>
      <c r="AA139" s="607"/>
      <c r="AB139" s="607"/>
      <c r="AC139" s="607"/>
      <c r="AD139" s="607"/>
      <c r="AE139" s="607"/>
      <c r="AF139" s="607"/>
      <c r="AG139" s="607"/>
      <c r="AH139" s="607"/>
      <c r="AI139" s="607"/>
      <c r="AJ139" s="607"/>
      <c r="AK139" s="607"/>
      <c r="AL139" s="607"/>
      <c r="AM139" s="607"/>
      <c r="AN139" s="607"/>
      <c r="AO139" s="607"/>
      <c r="AP139" s="607"/>
      <c r="AQ139" s="607"/>
      <c r="AR139" s="607"/>
      <c r="AS139" s="607"/>
      <c r="AT139" s="607"/>
      <c r="AU139" s="607"/>
      <c r="AV139" s="607"/>
      <c r="AW139" s="607"/>
      <c r="AX139" s="607"/>
      <c r="AY139" s="607"/>
      <c r="AZ139" s="608"/>
    </row>
    <row r="140" spans="1:52" s="47" customFormat="1">
      <c r="A140" s="601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</row>
    <row r="141" spans="1:52">
      <c r="A141" s="563" t="s">
        <v>24</v>
      </c>
      <c r="B141" s="1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</row>
    <row r="142" spans="1:52">
      <c r="A142" s="99"/>
      <c r="B142" s="50"/>
      <c r="C142" s="16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</row>
    <row r="143" spans="1:52" s="51" customFormat="1">
      <c r="A143" s="575" t="s">
        <v>88</v>
      </c>
      <c r="B143" s="162" t="s">
        <v>139</v>
      </c>
      <c r="C143" s="140">
        <f t="shared" ref="C143:AH143" si="28">INDEX(Pdm,MATCH($B$143,$B$144:$B$146,0),C7+1)</f>
        <v>0.2</v>
      </c>
      <c r="D143" s="141">
        <f t="shared" si="28"/>
        <v>0.2</v>
      </c>
      <c r="E143" s="141">
        <f t="shared" si="28"/>
        <v>0.2</v>
      </c>
      <c r="F143" s="141">
        <f t="shared" si="28"/>
        <v>0.2</v>
      </c>
      <c r="G143" s="141">
        <f t="shared" si="28"/>
        <v>0.2</v>
      </c>
      <c r="H143" s="141">
        <f t="shared" si="28"/>
        <v>0.2</v>
      </c>
      <c r="I143" s="141">
        <f t="shared" si="28"/>
        <v>0.2</v>
      </c>
      <c r="J143" s="141">
        <f t="shared" si="28"/>
        <v>0.2</v>
      </c>
      <c r="K143" s="141">
        <f t="shared" si="28"/>
        <v>0.2</v>
      </c>
      <c r="L143" s="141">
        <f t="shared" si="28"/>
        <v>0.2</v>
      </c>
      <c r="M143" s="141">
        <f t="shared" si="28"/>
        <v>0.2</v>
      </c>
      <c r="N143" s="141">
        <f t="shared" si="28"/>
        <v>0.2</v>
      </c>
      <c r="O143" s="141">
        <f t="shared" si="28"/>
        <v>0.2</v>
      </c>
      <c r="P143" s="141">
        <f t="shared" si="28"/>
        <v>0.2</v>
      </c>
      <c r="Q143" s="141">
        <f t="shared" si="28"/>
        <v>0.2</v>
      </c>
      <c r="R143" s="141">
        <f t="shared" si="28"/>
        <v>0.2</v>
      </c>
      <c r="S143" s="141">
        <f t="shared" si="28"/>
        <v>0.2</v>
      </c>
      <c r="T143" s="141">
        <f t="shared" si="28"/>
        <v>0.2</v>
      </c>
      <c r="U143" s="141">
        <f t="shared" si="28"/>
        <v>0.2</v>
      </c>
      <c r="V143" s="141">
        <f t="shared" si="28"/>
        <v>0.2</v>
      </c>
      <c r="W143" s="141">
        <f t="shared" si="28"/>
        <v>0.2</v>
      </c>
      <c r="X143" s="141">
        <f t="shared" si="28"/>
        <v>0.2</v>
      </c>
      <c r="Y143" s="141">
        <f t="shared" si="28"/>
        <v>0.2</v>
      </c>
      <c r="Z143" s="141">
        <f t="shared" si="28"/>
        <v>0.2</v>
      </c>
      <c r="AA143" s="141">
        <f t="shared" si="28"/>
        <v>0.2</v>
      </c>
      <c r="AB143" s="141">
        <f t="shared" si="28"/>
        <v>0.2</v>
      </c>
      <c r="AC143" s="141">
        <f t="shared" si="28"/>
        <v>0.2</v>
      </c>
      <c r="AD143" s="141">
        <f t="shared" si="28"/>
        <v>0.2</v>
      </c>
      <c r="AE143" s="141">
        <f t="shared" si="28"/>
        <v>0.2</v>
      </c>
      <c r="AF143" s="141">
        <f t="shared" si="28"/>
        <v>0.2</v>
      </c>
      <c r="AG143" s="141">
        <f t="shared" si="28"/>
        <v>0.2</v>
      </c>
      <c r="AH143" s="141">
        <f t="shared" si="28"/>
        <v>0.2</v>
      </c>
      <c r="AI143" s="141">
        <f t="shared" ref="AI143:AZ143" si="29">INDEX(Pdm,MATCH($B$143,$B$144:$B$146,0),AI7+1)</f>
        <v>0.2</v>
      </c>
      <c r="AJ143" s="141">
        <f t="shared" si="29"/>
        <v>0.2</v>
      </c>
      <c r="AK143" s="141">
        <f t="shared" si="29"/>
        <v>0.2</v>
      </c>
      <c r="AL143" s="141">
        <f t="shared" si="29"/>
        <v>0.2</v>
      </c>
      <c r="AM143" s="141">
        <f t="shared" si="29"/>
        <v>0.2</v>
      </c>
      <c r="AN143" s="141">
        <f t="shared" si="29"/>
        <v>0.2</v>
      </c>
      <c r="AO143" s="141">
        <f t="shared" si="29"/>
        <v>0.2</v>
      </c>
      <c r="AP143" s="141">
        <f t="shared" si="29"/>
        <v>0.2</v>
      </c>
      <c r="AQ143" s="141">
        <f t="shared" si="29"/>
        <v>0.2</v>
      </c>
      <c r="AR143" s="141">
        <f t="shared" si="29"/>
        <v>0.2</v>
      </c>
      <c r="AS143" s="141">
        <f t="shared" si="29"/>
        <v>0.2</v>
      </c>
      <c r="AT143" s="141">
        <f t="shared" si="29"/>
        <v>0.2</v>
      </c>
      <c r="AU143" s="141">
        <f t="shared" si="29"/>
        <v>0.2</v>
      </c>
      <c r="AV143" s="141">
        <f t="shared" si="29"/>
        <v>0.2</v>
      </c>
      <c r="AW143" s="141">
        <f t="shared" si="29"/>
        <v>0.2</v>
      </c>
      <c r="AX143" s="141">
        <f t="shared" si="29"/>
        <v>0.2</v>
      </c>
      <c r="AY143" s="141">
        <f t="shared" si="29"/>
        <v>0.2</v>
      </c>
      <c r="AZ143" s="142">
        <f t="shared" si="29"/>
        <v>0.2</v>
      </c>
    </row>
    <row r="144" spans="1:52" s="51" customFormat="1" outlineLevel="1">
      <c r="A144" s="575"/>
      <c r="B144" s="52" t="s">
        <v>138</v>
      </c>
      <c r="C144" s="15">
        <v>0.25</v>
      </c>
      <c r="D144" s="16">
        <v>0.25</v>
      </c>
      <c r="E144" s="16">
        <v>0.25</v>
      </c>
      <c r="F144" s="16">
        <v>0.25</v>
      </c>
      <c r="G144" s="16">
        <v>0.25</v>
      </c>
      <c r="H144" s="16">
        <v>0.25</v>
      </c>
      <c r="I144" s="16">
        <v>0.25</v>
      </c>
      <c r="J144" s="16">
        <v>0.25</v>
      </c>
      <c r="K144" s="16">
        <v>0.25</v>
      </c>
      <c r="L144" s="16">
        <v>0.25</v>
      </c>
      <c r="M144" s="16">
        <v>0.25</v>
      </c>
      <c r="N144" s="16">
        <v>0.25</v>
      </c>
      <c r="O144" s="16">
        <v>0.25</v>
      </c>
      <c r="P144" s="16">
        <v>0.25</v>
      </c>
      <c r="Q144" s="16">
        <v>0.25</v>
      </c>
      <c r="R144" s="16">
        <v>0.25</v>
      </c>
      <c r="S144" s="16">
        <v>0.25</v>
      </c>
      <c r="T144" s="16">
        <v>0.25</v>
      </c>
      <c r="U144" s="16">
        <v>0.25</v>
      </c>
      <c r="V144" s="16">
        <v>0.25</v>
      </c>
      <c r="W144" s="16">
        <v>0.25</v>
      </c>
      <c r="X144" s="16">
        <v>0.25</v>
      </c>
      <c r="Y144" s="16">
        <v>0.25</v>
      </c>
      <c r="Z144" s="16">
        <v>0.25</v>
      </c>
      <c r="AA144" s="16">
        <v>0.25</v>
      </c>
      <c r="AB144" s="16">
        <v>0.25</v>
      </c>
      <c r="AC144" s="16">
        <v>0.25</v>
      </c>
      <c r="AD144" s="16">
        <v>0.25</v>
      </c>
      <c r="AE144" s="16">
        <v>0.25</v>
      </c>
      <c r="AF144" s="16">
        <v>0.25</v>
      </c>
      <c r="AG144" s="16">
        <v>0.25</v>
      </c>
      <c r="AH144" s="16">
        <v>0.25</v>
      </c>
      <c r="AI144" s="16">
        <v>0.25</v>
      </c>
      <c r="AJ144" s="16">
        <v>0.25</v>
      </c>
      <c r="AK144" s="16">
        <v>0.25</v>
      </c>
      <c r="AL144" s="16">
        <v>0.25</v>
      </c>
      <c r="AM144" s="16">
        <v>0.25</v>
      </c>
      <c r="AN144" s="16">
        <v>0.25</v>
      </c>
      <c r="AO144" s="16">
        <v>0.25</v>
      </c>
      <c r="AP144" s="16">
        <v>0.25</v>
      </c>
      <c r="AQ144" s="16">
        <v>0.25</v>
      </c>
      <c r="AR144" s="16">
        <v>0.25</v>
      </c>
      <c r="AS144" s="16">
        <v>0.25</v>
      </c>
      <c r="AT144" s="16">
        <v>0.25</v>
      </c>
      <c r="AU144" s="16">
        <v>0.25</v>
      </c>
      <c r="AV144" s="16">
        <v>0.25</v>
      </c>
      <c r="AW144" s="16">
        <v>0.25</v>
      </c>
      <c r="AX144" s="16">
        <v>0.25</v>
      </c>
      <c r="AY144" s="16">
        <v>0.25</v>
      </c>
      <c r="AZ144" s="33">
        <v>0.25</v>
      </c>
    </row>
    <row r="145" spans="1:52" s="51" customFormat="1" outlineLevel="1">
      <c r="A145" s="575"/>
      <c r="B145" s="52" t="s">
        <v>139</v>
      </c>
      <c r="C145" s="15">
        <v>0.2</v>
      </c>
      <c r="D145" s="16">
        <v>0.2</v>
      </c>
      <c r="E145" s="16">
        <v>0.2</v>
      </c>
      <c r="F145" s="16">
        <v>0.2</v>
      </c>
      <c r="G145" s="16">
        <v>0.2</v>
      </c>
      <c r="H145" s="16">
        <v>0.2</v>
      </c>
      <c r="I145" s="16">
        <v>0.2</v>
      </c>
      <c r="J145" s="16">
        <v>0.2</v>
      </c>
      <c r="K145" s="16">
        <v>0.2</v>
      </c>
      <c r="L145" s="16">
        <v>0.2</v>
      </c>
      <c r="M145" s="16">
        <v>0.2</v>
      </c>
      <c r="N145" s="16">
        <v>0.2</v>
      </c>
      <c r="O145" s="16">
        <v>0.2</v>
      </c>
      <c r="P145" s="16">
        <v>0.2</v>
      </c>
      <c r="Q145" s="16">
        <v>0.2</v>
      </c>
      <c r="R145" s="16">
        <v>0.2</v>
      </c>
      <c r="S145" s="16">
        <v>0.2</v>
      </c>
      <c r="T145" s="16">
        <v>0.2</v>
      </c>
      <c r="U145" s="16">
        <v>0.2</v>
      </c>
      <c r="V145" s="16">
        <v>0.2</v>
      </c>
      <c r="W145" s="16">
        <v>0.2</v>
      </c>
      <c r="X145" s="16">
        <v>0.2</v>
      </c>
      <c r="Y145" s="16">
        <v>0.2</v>
      </c>
      <c r="Z145" s="16">
        <v>0.2</v>
      </c>
      <c r="AA145" s="16">
        <v>0.2</v>
      </c>
      <c r="AB145" s="16">
        <v>0.2</v>
      </c>
      <c r="AC145" s="16">
        <v>0.2</v>
      </c>
      <c r="AD145" s="16">
        <v>0.2</v>
      </c>
      <c r="AE145" s="16">
        <v>0.2</v>
      </c>
      <c r="AF145" s="16">
        <v>0.2</v>
      </c>
      <c r="AG145" s="16">
        <v>0.2</v>
      </c>
      <c r="AH145" s="16">
        <v>0.2</v>
      </c>
      <c r="AI145" s="16">
        <v>0.2</v>
      </c>
      <c r="AJ145" s="16">
        <v>0.2</v>
      </c>
      <c r="AK145" s="16">
        <v>0.2</v>
      </c>
      <c r="AL145" s="16">
        <v>0.2</v>
      </c>
      <c r="AM145" s="16">
        <v>0.2</v>
      </c>
      <c r="AN145" s="16">
        <v>0.2</v>
      </c>
      <c r="AO145" s="16">
        <v>0.2</v>
      </c>
      <c r="AP145" s="16">
        <v>0.2</v>
      </c>
      <c r="AQ145" s="16">
        <v>0.2</v>
      </c>
      <c r="AR145" s="16">
        <v>0.2</v>
      </c>
      <c r="AS145" s="16">
        <v>0.2</v>
      </c>
      <c r="AT145" s="16">
        <v>0.2</v>
      </c>
      <c r="AU145" s="16">
        <v>0.2</v>
      </c>
      <c r="AV145" s="16">
        <v>0.2</v>
      </c>
      <c r="AW145" s="16">
        <v>0.2</v>
      </c>
      <c r="AX145" s="16">
        <v>0.2</v>
      </c>
      <c r="AY145" s="16">
        <v>0.2</v>
      </c>
      <c r="AZ145" s="33">
        <v>0.2</v>
      </c>
    </row>
    <row r="146" spans="1:52" s="51" customFormat="1" outlineLevel="1">
      <c r="A146" s="575"/>
      <c r="B146" s="52" t="s">
        <v>136</v>
      </c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33"/>
    </row>
    <row r="147" spans="1:52" s="51" customFormat="1">
      <c r="A147" s="575"/>
      <c r="B147" s="52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76"/>
      <c r="AT147" s="176"/>
      <c r="AU147" s="176"/>
      <c r="AV147" s="176"/>
      <c r="AW147" s="176"/>
      <c r="AX147" s="176"/>
      <c r="AY147" s="176"/>
      <c r="AZ147" s="176"/>
    </row>
    <row r="148" spans="1:52" s="51" customFormat="1">
      <c r="A148" s="575" t="s">
        <v>90</v>
      </c>
      <c r="B148" s="618" t="str">
        <f>B143</f>
        <v>Exemple 2</v>
      </c>
      <c r="C148" s="619">
        <f t="shared" ref="C148:AH148" si="30">INDEX(Cofinancement_générique,MATCH($B$148,$B$149:$B$151,0),C7+1)</f>
        <v>0.05</v>
      </c>
      <c r="D148" s="620">
        <f t="shared" si="30"/>
        <v>0</v>
      </c>
      <c r="E148" s="620">
        <f t="shared" si="30"/>
        <v>0</v>
      </c>
      <c r="F148" s="620">
        <f t="shared" si="30"/>
        <v>0</v>
      </c>
      <c r="G148" s="620">
        <f t="shared" si="30"/>
        <v>0.05</v>
      </c>
      <c r="H148" s="620">
        <f t="shared" si="30"/>
        <v>0</v>
      </c>
      <c r="I148" s="620">
        <f t="shared" si="30"/>
        <v>0.05</v>
      </c>
      <c r="J148" s="620">
        <f t="shared" si="30"/>
        <v>0</v>
      </c>
      <c r="K148" s="620">
        <f t="shared" si="30"/>
        <v>0</v>
      </c>
      <c r="L148" s="620">
        <f t="shared" si="30"/>
        <v>0.05</v>
      </c>
      <c r="M148" s="620">
        <f t="shared" si="30"/>
        <v>0</v>
      </c>
      <c r="N148" s="620">
        <f t="shared" si="30"/>
        <v>0</v>
      </c>
      <c r="O148" s="620">
        <f t="shared" si="30"/>
        <v>0</v>
      </c>
      <c r="P148" s="620">
        <f t="shared" si="30"/>
        <v>0</v>
      </c>
      <c r="Q148" s="620">
        <f t="shared" si="30"/>
        <v>0</v>
      </c>
      <c r="R148" s="620">
        <f t="shared" si="30"/>
        <v>0</v>
      </c>
      <c r="S148" s="620">
        <f t="shared" si="30"/>
        <v>0</v>
      </c>
      <c r="T148" s="620">
        <f t="shared" si="30"/>
        <v>0</v>
      </c>
      <c r="U148" s="620">
        <f t="shared" si="30"/>
        <v>0</v>
      </c>
      <c r="V148" s="620">
        <f t="shared" si="30"/>
        <v>0</v>
      </c>
      <c r="W148" s="620">
        <f t="shared" si="30"/>
        <v>0</v>
      </c>
      <c r="X148" s="620">
        <f t="shared" si="30"/>
        <v>0</v>
      </c>
      <c r="Y148" s="620">
        <f t="shared" si="30"/>
        <v>0</v>
      </c>
      <c r="Z148" s="620">
        <f t="shared" si="30"/>
        <v>0</v>
      </c>
      <c r="AA148" s="620">
        <f t="shared" si="30"/>
        <v>0</v>
      </c>
      <c r="AB148" s="620">
        <f t="shared" si="30"/>
        <v>0</v>
      </c>
      <c r="AC148" s="620">
        <f t="shared" si="30"/>
        <v>0</v>
      </c>
      <c r="AD148" s="620">
        <f t="shared" si="30"/>
        <v>0</v>
      </c>
      <c r="AE148" s="620">
        <f t="shared" si="30"/>
        <v>0</v>
      </c>
      <c r="AF148" s="620">
        <f t="shared" si="30"/>
        <v>0</v>
      </c>
      <c r="AG148" s="620">
        <f t="shared" si="30"/>
        <v>0</v>
      </c>
      <c r="AH148" s="620">
        <f t="shared" si="30"/>
        <v>0</v>
      </c>
      <c r="AI148" s="620">
        <f t="shared" ref="AI148:AZ148" si="31">INDEX(Cofinancement_générique,MATCH($B$148,$B$149:$B$151,0),AI7+1)</f>
        <v>0</v>
      </c>
      <c r="AJ148" s="620">
        <f t="shared" si="31"/>
        <v>0</v>
      </c>
      <c r="AK148" s="620">
        <f t="shared" si="31"/>
        <v>0</v>
      </c>
      <c r="AL148" s="620">
        <f t="shared" si="31"/>
        <v>0</v>
      </c>
      <c r="AM148" s="620">
        <f t="shared" si="31"/>
        <v>0</v>
      </c>
      <c r="AN148" s="620">
        <f t="shared" si="31"/>
        <v>0</v>
      </c>
      <c r="AO148" s="620">
        <f t="shared" si="31"/>
        <v>0</v>
      </c>
      <c r="AP148" s="620">
        <f t="shared" si="31"/>
        <v>0</v>
      </c>
      <c r="AQ148" s="620">
        <f t="shared" si="31"/>
        <v>0</v>
      </c>
      <c r="AR148" s="620">
        <f t="shared" si="31"/>
        <v>0</v>
      </c>
      <c r="AS148" s="620">
        <f t="shared" si="31"/>
        <v>0</v>
      </c>
      <c r="AT148" s="620">
        <f t="shared" si="31"/>
        <v>0</v>
      </c>
      <c r="AU148" s="620">
        <f t="shared" si="31"/>
        <v>0</v>
      </c>
      <c r="AV148" s="620">
        <f t="shared" si="31"/>
        <v>0</v>
      </c>
      <c r="AW148" s="620">
        <f t="shared" si="31"/>
        <v>0</v>
      </c>
      <c r="AX148" s="620">
        <f t="shared" si="31"/>
        <v>0</v>
      </c>
      <c r="AY148" s="620">
        <f t="shared" si="31"/>
        <v>0</v>
      </c>
      <c r="AZ148" s="621">
        <f t="shared" si="31"/>
        <v>0</v>
      </c>
    </row>
    <row r="149" spans="1:52" outlineLevel="1">
      <c r="A149" s="99"/>
      <c r="B149" s="10" t="s">
        <v>138</v>
      </c>
      <c r="C149" s="616">
        <v>0.05</v>
      </c>
      <c r="D149" s="225">
        <v>0</v>
      </c>
      <c r="E149" s="225">
        <v>0</v>
      </c>
      <c r="F149" s="225">
        <v>0</v>
      </c>
      <c r="G149" s="225">
        <v>0.05</v>
      </c>
      <c r="H149" s="225">
        <v>0.05</v>
      </c>
      <c r="I149" s="225">
        <v>0</v>
      </c>
      <c r="J149" s="225">
        <v>0.05</v>
      </c>
      <c r="K149" s="225">
        <v>0</v>
      </c>
      <c r="L149" s="225">
        <v>0</v>
      </c>
      <c r="M149" s="225">
        <v>0.05</v>
      </c>
      <c r="N149" s="225">
        <v>0</v>
      </c>
      <c r="O149" s="225">
        <v>0</v>
      </c>
      <c r="P149" s="225">
        <v>0</v>
      </c>
      <c r="Q149" s="225">
        <v>0</v>
      </c>
      <c r="R149" s="225">
        <v>0</v>
      </c>
      <c r="S149" s="225">
        <v>0</v>
      </c>
      <c r="T149" s="225">
        <v>0</v>
      </c>
      <c r="U149" s="225">
        <v>0</v>
      </c>
      <c r="V149" s="225">
        <v>0</v>
      </c>
      <c r="W149" s="225">
        <v>0</v>
      </c>
      <c r="X149" s="225">
        <v>0</v>
      </c>
      <c r="Y149" s="225">
        <v>0</v>
      </c>
      <c r="Z149" s="225">
        <v>0</v>
      </c>
      <c r="AA149" s="225">
        <v>0</v>
      </c>
      <c r="AB149" s="225">
        <v>0</v>
      </c>
      <c r="AC149" s="225">
        <v>0</v>
      </c>
      <c r="AD149" s="225">
        <v>0</v>
      </c>
      <c r="AE149" s="225">
        <v>0</v>
      </c>
      <c r="AF149" s="225">
        <v>0</v>
      </c>
      <c r="AG149" s="225">
        <v>0</v>
      </c>
      <c r="AH149" s="225">
        <v>0</v>
      </c>
      <c r="AI149" s="225">
        <v>0</v>
      </c>
      <c r="AJ149" s="225">
        <v>0</v>
      </c>
      <c r="AK149" s="225">
        <v>0</v>
      </c>
      <c r="AL149" s="225">
        <v>0</v>
      </c>
      <c r="AM149" s="225">
        <v>0</v>
      </c>
      <c r="AN149" s="225">
        <v>0</v>
      </c>
      <c r="AO149" s="225">
        <v>0</v>
      </c>
      <c r="AP149" s="225">
        <v>0</v>
      </c>
      <c r="AQ149" s="225">
        <v>0</v>
      </c>
      <c r="AR149" s="225">
        <v>0</v>
      </c>
      <c r="AS149" s="225">
        <v>0</v>
      </c>
      <c r="AT149" s="225">
        <v>0</v>
      </c>
      <c r="AU149" s="225">
        <v>0</v>
      </c>
      <c r="AV149" s="225">
        <v>0</v>
      </c>
      <c r="AW149" s="225">
        <v>0</v>
      </c>
      <c r="AX149" s="225">
        <v>0</v>
      </c>
      <c r="AY149" s="225">
        <v>0</v>
      </c>
      <c r="AZ149" s="617">
        <v>0</v>
      </c>
    </row>
    <row r="150" spans="1:52" outlineLevel="1">
      <c r="A150" s="99"/>
      <c r="B150" s="10" t="s">
        <v>139</v>
      </c>
      <c r="C150" s="15">
        <v>0.05</v>
      </c>
      <c r="D150" s="16">
        <v>0</v>
      </c>
      <c r="E150" s="16">
        <v>0</v>
      </c>
      <c r="F150" s="16">
        <v>0</v>
      </c>
      <c r="G150" s="16">
        <v>0.05</v>
      </c>
      <c r="H150" s="16">
        <v>0</v>
      </c>
      <c r="I150" s="16">
        <v>0.05</v>
      </c>
      <c r="J150" s="16">
        <v>0</v>
      </c>
      <c r="K150" s="16">
        <v>0</v>
      </c>
      <c r="L150" s="16">
        <v>0.05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33">
        <v>0</v>
      </c>
    </row>
    <row r="151" spans="1:52" s="178" customFormat="1" outlineLevel="1">
      <c r="A151" s="101"/>
      <c r="B151" s="52" t="s">
        <v>136</v>
      </c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33"/>
    </row>
    <row r="152" spans="1:52" ht="13.5" thickBot="1">
      <c r="A152" s="576"/>
    </row>
    <row r="153" spans="1:52">
      <c r="C153" s="622"/>
      <c r="D153" s="622"/>
      <c r="E153" s="622"/>
      <c r="F153" s="622"/>
      <c r="G153" s="622"/>
      <c r="H153" s="622"/>
      <c r="I153" s="622"/>
      <c r="J153" s="622"/>
      <c r="K153" s="622"/>
      <c r="L153" s="622"/>
      <c r="M153" s="622"/>
      <c r="N153" s="622"/>
      <c r="O153" s="622"/>
      <c r="P153" s="622"/>
      <c r="Q153" s="622"/>
      <c r="R153" s="622"/>
      <c r="S153" s="622"/>
      <c r="T153" s="622"/>
      <c r="U153" s="622"/>
      <c r="V153" s="622"/>
      <c r="W153" s="622"/>
      <c r="X153" s="622"/>
      <c r="Y153" s="622"/>
      <c r="Z153" s="622"/>
      <c r="AA153" s="622"/>
      <c r="AB153" s="622"/>
      <c r="AC153" s="622"/>
      <c r="AD153" s="622"/>
      <c r="AE153" s="622"/>
      <c r="AF153" s="622"/>
      <c r="AG153" s="622"/>
      <c r="AH153" s="622"/>
      <c r="AI153" s="622"/>
      <c r="AJ153" s="622"/>
      <c r="AK153" s="622"/>
    </row>
  </sheetData>
  <dataConsolidate/>
  <mergeCells count="1">
    <mergeCell ref="B1:C1"/>
  </mergeCells>
  <conditionalFormatting sqref="D5">
    <cfRule type="cellIs" dxfId="3" priority="3" operator="equal">
      <formula>"Attention scénario d'achat de tranches de l'opérateur générique non cohérent avec le taux de pénétration et sa part de marché"</formula>
    </cfRule>
  </conditionalFormatting>
  <conditionalFormatting sqref="C5">
    <cfRule type="expression" dxfId="2" priority="1">
      <formula>$D$5="Attention scénario d'achat de tranches de l'opérateur générique non cohérent avec le taux de pénétration et sa part de marché"</formula>
    </cfRule>
  </conditionalFormatting>
  <dataValidations count="25">
    <dataValidation type="list" allowBlank="1" showInputMessage="1" showErrorMessage="1" sqref="B36">
      <formula1>$B$37:$B$38</formula1>
    </dataValidation>
    <dataValidation type="list" allowBlank="1" showInputMessage="1" showErrorMessage="1" sqref="B95">
      <formula1>$B$96:$B$97</formula1>
    </dataValidation>
    <dataValidation type="list" allowBlank="1" showInputMessage="1" showErrorMessage="1" sqref="B99">
      <formula1>$B$100:$B$101</formula1>
    </dataValidation>
    <dataValidation type="list" allowBlank="1" showInputMessage="1" showErrorMessage="1" sqref="B42">
      <formula1>$B$43:$B$44</formula1>
    </dataValidation>
    <dataValidation type="list" allowBlank="1" showInputMessage="1" showErrorMessage="1" sqref="B71">
      <formula1>$B$72:$B$75</formula1>
    </dataValidation>
    <dataValidation type="list" allowBlank="1" showInputMessage="1" showErrorMessage="1" sqref="B79">
      <formula1>$B$80:$B$81</formula1>
    </dataValidation>
    <dataValidation type="list" allowBlank="1" showInputMessage="1" showErrorMessage="1" sqref="B91">
      <formula1>$B$92:$B$93</formula1>
    </dataValidation>
    <dataValidation type="list" allowBlank="1" showInputMessage="1" showErrorMessage="1" sqref="B143">
      <formula1>$B$144:$B$146</formula1>
    </dataValidation>
    <dataValidation type="list" allowBlank="1" showInputMessage="1" showErrorMessage="1" sqref="B83">
      <formula1>$B$84:$B$85</formula1>
    </dataValidation>
    <dataValidation type="list" allowBlank="1" showInputMessage="1" showErrorMessage="1" sqref="B105">
      <formula1>$B$106:$B$108</formula1>
    </dataValidation>
    <dataValidation type="list" allowBlank="1" showInputMessage="1" showErrorMessage="1" sqref="B110">
      <formula1>$B$111:$B$113</formula1>
    </dataValidation>
    <dataValidation type="list" allowBlank="1" showInputMessage="1" showErrorMessage="1" sqref="B131">
      <formula1>$B$132:$B$133</formula1>
    </dataValidation>
    <dataValidation type="list" allowBlank="1" showInputMessage="1" showErrorMessage="1" sqref="B18">
      <formula1>$B$19:$B$21</formula1>
    </dataValidation>
    <dataValidation type="list" allowBlank="1" showInputMessage="1" showErrorMessage="1" sqref="B46">
      <formula1>$B$47:$B$49</formula1>
    </dataValidation>
    <dataValidation showInputMessage="1" showErrorMessage="1" sqref="B9:B10 B12:B13"/>
    <dataValidation type="list" allowBlank="1" showInputMessage="1" showErrorMessage="1" sqref="B23">
      <formula1>$B$24:$B$26</formula1>
    </dataValidation>
    <dataValidation type="list" allowBlank="1" showInputMessage="1" showErrorMessage="1" sqref="B119">
      <formula1>$B$120:$B$121</formula1>
    </dataValidation>
    <dataValidation type="list" allowBlank="1" showInputMessage="1" showErrorMessage="1" sqref="B87">
      <formula1>$B$88:$B$89</formula1>
    </dataValidation>
    <dataValidation type="list" allowBlank="1" showInputMessage="1" showErrorMessage="1" sqref="B53">
      <formula1>$B$54:$B$55</formula1>
    </dataValidation>
    <dataValidation type="list" allowBlank="1" showInputMessage="1" showErrorMessage="1" sqref="B57">
      <formula1>$B$58:$B$59</formula1>
    </dataValidation>
    <dataValidation type="list" allowBlank="1" showInputMessage="1" showErrorMessage="1" sqref="B28">
      <formula1>$B$29:$B$30</formula1>
    </dataValidation>
    <dataValidation type="list" allowBlank="1" showInputMessage="1" showErrorMessage="1" sqref="B63">
      <formula1>$B$64:$B$65</formula1>
    </dataValidation>
    <dataValidation type="list" allowBlank="1" showInputMessage="1" showErrorMessage="1" sqref="B127">
      <formula1>$B$128:$B$129</formula1>
    </dataValidation>
    <dataValidation type="list" allowBlank="1" showInputMessage="1" showErrorMessage="1" sqref="B115">
      <formula1>$B$116:$B$117</formula1>
    </dataValidation>
    <dataValidation type="list" allowBlank="1" showInputMessage="1" showErrorMessage="1" sqref="B137">
      <formula1>$B$138:$B$139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31"/>
  <sheetViews>
    <sheetView zoomScaleNormal="100" workbookViewId="0">
      <pane xSplit="1" topLeftCell="B1" activePane="topRight" state="frozen"/>
      <selection pane="topRight"/>
    </sheetView>
  </sheetViews>
  <sheetFormatPr baseColWidth="10" defaultRowHeight="12.75"/>
  <cols>
    <col min="1" max="1" width="44.140625" style="28" bestFit="1" customWidth="1"/>
    <col min="2" max="2" width="18" style="111" bestFit="1" customWidth="1"/>
    <col min="3" max="3" width="16.28515625" style="111" customWidth="1"/>
    <col min="4" max="11" width="16.7109375" style="111" bestFit="1" customWidth="1"/>
    <col min="12" max="15" width="16.42578125" style="111" bestFit="1" customWidth="1"/>
    <col min="16" max="18" width="15.28515625" style="111" bestFit="1" customWidth="1"/>
    <col min="19" max="21" width="11.5703125" style="111" bestFit="1" customWidth="1"/>
    <col min="22" max="16384" width="11.42578125" style="111"/>
  </cols>
  <sheetData>
    <row r="1" spans="1:16" s="504" customFormat="1">
      <c r="A1" s="502" t="s">
        <v>7</v>
      </c>
      <c r="B1" s="503">
        <v>1</v>
      </c>
      <c r="C1" s="503">
        <v>2</v>
      </c>
      <c r="D1" s="503">
        <v>3</v>
      </c>
      <c r="E1" s="503">
        <v>4</v>
      </c>
      <c r="F1" s="503">
        <v>5</v>
      </c>
      <c r="G1" s="503">
        <v>6</v>
      </c>
      <c r="H1" s="503">
        <v>7</v>
      </c>
      <c r="I1" s="503">
        <v>8</v>
      </c>
      <c r="J1" s="503">
        <v>9</v>
      </c>
      <c r="K1" s="503">
        <v>10</v>
      </c>
      <c r="L1" s="503">
        <v>11</v>
      </c>
      <c r="M1" s="503">
        <v>12</v>
      </c>
      <c r="N1" s="503">
        <v>13</v>
      </c>
      <c r="O1" s="503">
        <v>14</v>
      </c>
      <c r="P1" s="503">
        <v>15</v>
      </c>
    </row>
    <row r="2" spans="1:16">
      <c r="A2" s="505" t="s">
        <v>96</v>
      </c>
      <c r="B2" s="506">
        <f>'Tableau de bord'!C95</f>
        <v>140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</row>
    <row r="3" spans="1:16">
      <c r="A3" s="505" t="s">
        <v>95</v>
      </c>
      <c r="B3" s="506">
        <f>'Tableau de bord'!C99</f>
        <v>360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</row>
    <row r="4" spans="1:16">
      <c r="A4" s="505" t="s">
        <v>93</v>
      </c>
      <c r="B4" s="508">
        <f>'Tableau de bord'!C18</f>
        <v>8000</v>
      </c>
      <c r="C4" s="509">
        <f>'Tableau de bord'!D18</f>
        <v>13000</v>
      </c>
      <c r="D4" s="509">
        <f>'Tableau de bord'!E18</f>
        <v>15000</v>
      </c>
      <c r="E4" s="509">
        <f>'Tableau de bord'!F18</f>
        <v>16000</v>
      </c>
      <c r="F4" s="509">
        <f>'Tableau de bord'!G18</f>
        <v>15000</v>
      </c>
      <c r="G4" s="509">
        <f>'Tableau de bord'!H18</f>
        <v>13000</v>
      </c>
      <c r="H4" s="509">
        <f>'Tableau de bord'!I18</f>
        <v>9000</v>
      </c>
      <c r="I4" s="509">
        <f>'Tableau de bord'!J18</f>
        <v>8000</v>
      </c>
      <c r="J4" s="509">
        <f>'Tableau de bord'!K18</f>
        <v>3000</v>
      </c>
      <c r="K4" s="509">
        <f>'Tableau de bord'!L18</f>
        <v>0</v>
      </c>
      <c r="L4" s="510"/>
      <c r="M4" s="510"/>
      <c r="N4" s="510"/>
      <c r="O4" s="510"/>
      <c r="P4" s="511"/>
    </row>
    <row r="5" spans="1:16">
      <c r="B5" s="512">
        <f>'Tableau de bord'!C23*$B$4</f>
        <v>3200</v>
      </c>
      <c r="C5" s="513">
        <f>'Tableau de bord'!D23*$B$4</f>
        <v>2400</v>
      </c>
      <c r="D5" s="513">
        <f>'Tableau de bord'!E23*$B$4</f>
        <v>1200</v>
      </c>
      <c r="E5" s="513">
        <f>'Tableau de bord'!F23*$B$4</f>
        <v>800</v>
      </c>
      <c r="F5" s="513">
        <f>'Tableau de bord'!G23*$B$4</f>
        <v>400</v>
      </c>
      <c r="G5" s="510"/>
      <c r="H5" s="510"/>
      <c r="I5" s="510"/>
      <c r="J5" s="510"/>
      <c r="K5" s="510"/>
      <c r="L5" s="510"/>
      <c r="M5" s="510"/>
      <c r="N5" s="510"/>
      <c r="O5" s="510"/>
      <c r="P5" s="511"/>
    </row>
    <row r="6" spans="1:16">
      <c r="B6" s="514"/>
      <c r="C6" s="513">
        <f>'Tableau de bord'!C23*$C$4</f>
        <v>5200</v>
      </c>
      <c r="D6" s="513">
        <f>'Tableau de bord'!D23*$C$4</f>
        <v>3900</v>
      </c>
      <c r="E6" s="513">
        <f>'Tableau de bord'!E23*$C$4</f>
        <v>1950</v>
      </c>
      <c r="F6" s="513">
        <f>'Tableau de bord'!F23*$C$4</f>
        <v>1300</v>
      </c>
      <c r="G6" s="515">
        <f>'Tableau de bord'!G23*$C$4</f>
        <v>650</v>
      </c>
      <c r="H6" s="510"/>
      <c r="I6" s="510"/>
      <c r="J6" s="510"/>
      <c r="K6" s="510"/>
      <c r="L6" s="510"/>
      <c r="M6" s="510"/>
      <c r="N6" s="510"/>
      <c r="O6" s="510"/>
      <c r="P6" s="511"/>
    </row>
    <row r="7" spans="1:16">
      <c r="B7" s="514"/>
      <c r="C7" s="510"/>
      <c r="D7" s="513">
        <f>'Tableau de bord'!C23*$D$4</f>
        <v>6000</v>
      </c>
      <c r="E7" s="513">
        <f>'Tableau de bord'!D23*$D$4</f>
        <v>4500</v>
      </c>
      <c r="F7" s="513">
        <f>'Tableau de bord'!E23*$D$4</f>
        <v>2250</v>
      </c>
      <c r="G7" s="513">
        <f>'Tableau de bord'!F23*$D$4</f>
        <v>1500</v>
      </c>
      <c r="H7" s="515">
        <f>'Tableau de bord'!G23*$D$4</f>
        <v>750</v>
      </c>
      <c r="I7" s="510"/>
      <c r="J7" s="510"/>
      <c r="K7" s="510"/>
      <c r="L7" s="510"/>
      <c r="M7" s="510"/>
      <c r="N7" s="510"/>
      <c r="O7" s="510"/>
      <c r="P7" s="511"/>
    </row>
    <row r="8" spans="1:16">
      <c r="B8" s="514"/>
      <c r="C8" s="510"/>
      <c r="D8" s="510"/>
      <c r="E8" s="513">
        <f>'Tableau de bord'!C23*$E$4</f>
        <v>6400</v>
      </c>
      <c r="F8" s="513">
        <f>'Tableau de bord'!D23*$E$4</f>
        <v>4800</v>
      </c>
      <c r="G8" s="513">
        <f>'Tableau de bord'!E23*$E$4</f>
        <v>2400</v>
      </c>
      <c r="H8" s="513">
        <f>'Tableau de bord'!F23*$E$4</f>
        <v>1600</v>
      </c>
      <c r="I8" s="515">
        <f>'Tableau de bord'!G23*$E$4</f>
        <v>800</v>
      </c>
      <c r="J8" s="510"/>
      <c r="K8" s="510"/>
      <c r="L8" s="510"/>
      <c r="M8" s="510"/>
      <c r="N8" s="510"/>
      <c r="O8" s="510"/>
      <c r="P8" s="511"/>
    </row>
    <row r="9" spans="1:16">
      <c r="B9" s="514"/>
      <c r="C9" s="510"/>
      <c r="D9" s="510"/>
      <c r="E9" s="510"/>
      <c r="F9" s="513">
        <f>'Tableau de bord'!C23*$F$4</f>
        <v>6000</v>
      </c>
      <c r="G9" s="513">
        <f>'Tableau de bord'!D23*$F$4</f>
        <v>4500</v>
      </c>
      <c r="H9" s="513">
        <f>'Tableau de bord'!E23*$F$4</f>
        <v>2250</v>
      </c>
      <c r="I9" s="513">
        <f>'Tableau de bord'!F23*$F$4</f>
        <v>1500</v>
      </c>
      <c r="J9" s="515">
        <f>'Tableau de bord'!G23*$F$4</f>
        <v>750</v>
      </c>
      <c r="K9" s="510"/>
      <c r="L9" s="510"/>
      <c r="M9" s="510"/>
      <c r="N9" s="510"/>
      <c r="O9" s="510"/>
      <c r="P9" s="511"/>
    </row>
    <row r="10" spans="1:16">
      <c r="B10" s="514"/>
      <c r="C10" s="510"/>
      <c r="D10" s="510"/>
      <c r="E10" s="510"/>
      <c r="F10" s="510"/>
      <c r="G10" s="513">
        <f>'Tableau de bord'!C23*$G$4</f>
        <v>5200</v>
      </c>
      <c r="H10" s="513">
        <f>'Tableau de bord'!D23*$G$4</f>
        <v>3900</v>
      </c>
      <c r="I10" s="513">
        <f>'Tableau de bord'!E23*$G$4</f>
        <v>1950</v>
      </c>
      <c r="J10" s="513">
        <f>'Tableau de bord'!F23*$G$4</f>
        <v>1300</v>
      </c>
      <c r="K10" s="515">
        <f>'Tableau de bord'!G23*$G$4</f>
        <v>650</v>
      </c>
      <c r="L10" s="510"/>
      <c r="M10" s="510"/>
      <c r="N10" s="510"/>
      <c r="O10" s="510"/>
      <c r="P10" s="511"/>
    </row>
    <row r="11" spans="1:16">
      <c r="B11" s="514"/>
      <c r="C11" s="510"/>
      <c r="D11" s="510"/>
      <c r="E11" s="510"/>
      <c r="F11" s="510"/>
      <c r="G11" s="510"/>
      <c r="H11" s="513">
        <f>'Tableau de bord'!C23*$H$4</f>
        <v>3600</v>
      </c>
      <c r="I11" s="513">
        <f>'Tableau de bord'!D23*$H$4</f>
        <v>2700</v>
      </c>
      <c r="J11" s="513">
        <f>'Tableau de bord'!E23*$H$4</f>
        <v>1350</v>
      </c>
      <c r="K11" s="513">
        <f>'Tableau de bord'!F23*$H$4</f>
        <v>900</v>
      </c>
      <c r="L11" s="515">
        <f>'Tableau de bord'!G23*$H$4</f>
        <v>450</v>
      </c>
      <c r="M11" s="510"/>
      <c r="N11" s="510"/>
      <c r="O11" s="510"/>
      <c r="P11" s="511"/>
    </row>
    <row r="12" spans="1:16">
      <c r="B12" s="514"/>
      <c r="C12" s="510"/>
      <c r="D12" s="510"/>
      <c r="E12" s="510"/>
      <c r="F12" s="510"/>
      <c r="G12" s="510"/>
      <c r="H12" s="510"/>
      <c r="I12" s="513">
        <f>'Tableau de bord'!C23*$I$4</f>
        <v>3200</v>
      </c>
      <c r="J12" s="513">
        <f>'Tableau de bord'!D23*$I$4</f>
        <v>2400</v>
      </c>
      <c r="K12" s="513">
        <f>'Tableau de bord'!E23*$I$4</f>
        <v>1200</v>
      </c>
      <c r="L12" s="513">
        <f>'Tableau de bord'!F23*$I$4</f>
        <v>800</v>
      </c>
      <c r="M12" s="515">
        <f>'Tableau de bord'!G23*$I$4</f>
        <v>400</v>
      </c>
      <c r="N12" s="510"/>
      <c r="O12" s="510"/>
      <c r="P12" s="511"/>
    </row>
    <row r="13" spans="1:16">
      <c r="B13" s="514"/>
      <c r="C13" s="510"/>
      <c r="D13" s="510"/>
      <c r="E13" s="510"/>
      <c r="F13" s="510"/>
      <c r="G13" s="510"/>
      <c r="H13" s="510"/>
      <c r="I13" s="510"/>
      <c r="J13" s="513">
        <f>'Tableau de bord'!C23*$J$4</f>
        <v>1200</v>
      </c>
      <c r="K13" s="513">
        <f>'Tableau de bord'!D23*$J$4</f>
        <v>900</v>
      </c>
      <c r="L13" s="513">
        <f>'Tableau de bord'!E23*$J$4</f>
        <v>450</v>
      </c>
      <c r="M13" s="513">
        <f>'Tableau de bord'!F23*$J$4</f>
        <v>300</v>
      </c>
      <c r="N13" s="515">
        <f>'Tableau de bord'!G23*$J$4</f>
        <v>150</v>
      </c>
      <c r="O13" s="510"/>
      <c r="P13" s="511"/>
    </row>
    <row r="14" spans="1:16">
      <c r="B14" s="514"/>
      <c r="C14" s="510"/>
      <c r="D14" s="510"/>
      <c r="E14" s="510"/>
      <c r="F14" s="510"/>
      <c r="G14" s="510"/>
      <c r="H14" s="510"/>
      <c r="I14" s="510"/>
      <c r="J14" s="510"/>
      <c r="K14" s="516">
        <f>'Tableau de bord'!C23*$K$4</f>
        <v>0</v>
      </c>
      <c r="L14" s="516">
        <f>'Tableau de bord'!D23*$K$4</f>
        <v>0</v>
      </c>
      <c r="M14" s="516">
        <f>'Tableau de bord'!E23*$K$4</f>
        <v>0</v>
      </c>
      <c r="N14" s="516">
        <f>'Tableau de bord'!F23*$K$4</f>
        <v>0</v>
      </c>
      <c r="O14" s="517">
        <f>'Tableau de bord'!G23*$K$4</f>
        <v>0</v>
      </c>
      <c r="P14" s="518">
        <f>'Tableau de bord'!H23*$K$4</f>
        <v>0</v>
      </c>
    </row>
    <row r="15" spans="1:16">
      <c r="A15" s="505" t="s">
        <v>97</v>
      </c>
      <c r="B15" s="519">
        <f t="shared" ref="B15:P15" si="0">SUM(B5:B14)</f>
        <v>3200</v>
      </c>
      <c r="C15" s="520">
        <f t="shared" si="0"/>
        <v>7600</v>
      </c>
      <c r="D15" s="520">
        <f t="shared" si="0"/>
        <v>11100</v>
      </c>
      <c r="E15" s="520">
        <f t="shared" si="0"/>
        <v>13650</v>
      </c>
      <c r="F15" s="520">
        <f t="shared" si="0"/>
        <v>14750</v>
      </c>
      <c r="G15" s="520">
        <f t="shared" si="0"/>
        <v>14250</v>
      </c>
      <c r="H15" s="520">
        <f t="shared" si="0"/>
        <v>12100</v>
      </c>
      <c r="I15" s="520">
        <f t="shared" si="0"/>
        <v>10150</v>
      </c>
      <c r="J15" s="521">
        <f t="shared" si="0"/>
        <v>7000</v>
      </c>
      <c r="K15" s="521">
        <f t="shared" si="0"/>
        <v>3650</v>
      </c>
      <c r="L15" s="521">
        <f t="shared" si="0"/>
        <v>1700</v>
      </c>
      <c r="M15" s="521">
        <f t="shared" si="0"/>
        <v>700</v>
      </c>
      <c r="N15" s="521">
        <f t="shared" si="0"/>
        <v>150</v>
      </c>
      <c r="O15" s="521">
        <f t="shared" si="0"/>
        <v>0</v>
      </c>
      <c r="P15" s="522">
        <f t="shared" si="0"/>
        <v>0</v>
      </c>
    </row>
    <row r="16" spans="1:16">
      <c r="P16" s="217"/>
    </row>
    <row r="17" spans="1:16">
      <c r="A17" s="505" t="s">
        <v>98</v>
      </c>
      <c r="P17" s="217"/>
    </row>
    <row r="18" spans="1:16">
      <c r="A18" s="28" t="s">
        <v>94</v>
      </c>
      <c r="B18" s="523">
        <f>B4*$B$2</f>
        <v>1120000</v>
      </c>
      <c r="C18" s="524">
        <f t="shared" ref="C18:K18" si="1">C4*$B$2</f>
        <v>1820000</v>
      </c>
      <c r="D18" s="524">
        <f t="shared" si="1"/>
        <v>2100000</v>
      </c>
      <c r="E18" s="524">
        <f t="shared" si="1"/>
        <v>2240000</v>
      </c>
      <c r="F18" s="524">
        <f t="shared" si="1"/>
        <v>2100000</v>
      </c>
      <c r="G18" s="524">
        <f t="shared" si="1"/>
        <v>1820000</v>
      </c>
      <c r="H18" s="524">
        <f t="shared" si="1"/>
        <v>1260000</v>
      </c>
      <c r="I18" s="524">
        <f t="shared" si="1"/>
        <v>1120000</v>
      </c>
      <c r="J18" s="524">
        <f t="shared" si="1"/>
        <v>420000</v>
      </c>
      <c r="K18" s="524">
        <f t="shared" si="1"/>
        <v>0</v>
      </c>
      <c r="L18" s="525"/>
      <c r="M18" s="525"/>
      <c r="N18" s="525"/>
      <c r="O18" s="525"/>
      <c r="P18" s="526"/>
    </row>
    <row r="19" spans="1:16">
      <c r="A19" s="28" t="s">
        <v>105</v>
      </c>
      <c r="B19" s="527">
        <f>B15*$B$3</f>
        <v>1152000</v>
      </c>
      <c r="C19" s="465">
        <f t="shared" ref="C19:N19" si="2">C15*$B$3</f>
        <v>2736000</v>
      </c>
      <c r="D19" s="465">
        <f t="shared" si="2"/>
        <v>3996000</v>
      </c>
      <c r="E19" s="465">
        <f t="shared" si="2"/>
        <v>4914000</v>
      </c>
      <c r="F19" s="465">
        <f t="shared" si="2"/>
        <v>5310000</v>
      </c>
      <c r="G19" s="465">
        <f t="shared" si="2"/>
        <v>5130000</v>
      </c>
      <c r="H19" s="465">
        <f t="shared" si="2"/>
        <v>4356000</v>
      </c>
      <c r="I19" s="465">
        <f t="shared" si="2"/>
        <v>3654000</v>
      </c>
      <c r="J19" s="465">
        <f t="shared" si="2"/>
        <v>2520000</v>
      </c>
      <c r="K19" s="465">
        <f t="shared" si="2"/>
        <v>1314000</v>
      </c>
      <c r="L19" s="465">
        <f t="shared" si="2"/>
        <v>612000</v>
      </c>
      <c r="M19" s="465">
        <f t="shared" si="2"/>
        <v>252000</v>
      </c>
      <c r="N19" s="465">
        <f t="shared" si="2"/>
        <v>54000</v>
      </c>
      <c r="O19" s="465">
        <f>O15*$B$3</f>
        <v>0</v>
      </c>
      <c r="P19" s="466">
        <f>P15*$B$3</f>
        <v>0</v>
      </c>
    </row>
    <row r="20" spans="1:16">
      <c r="P20" s="217"/>
    </row>
    <row r="21" spans="1:16">
      <c r="A21" s="505" t="s">
        <v>106</v>
      </c>
      <c r="B21" s="528">
        <f>'Tableau de bord'!C103</f>
        <v>0.01</v>
      </c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29"/>
    </row>
    <row r="22" spans="1:16">
      <c r="A22" s="28" t="s">
        <v>103</v>
      </c>
      <c r="B22" s="106">
        <f>B2*K1*(1-(1+$B$21))/(1-(1+$B$21)^K1)</f>
        <v>133.81490717163973</v>
      </c>
      <c r="C22" s="107">
        <f>B22*(1+$B$21)</f>
        <v>135.15305624335613</v>
      </c>
      <c r="D22" s="107">
        <f t="shared" ref="D22:K22" si="3">C22*(1+$B$21)</f>
        <v>136.5045868057897</v>
      </c>
      <c r="E22" s="107">
        <f t="shared" si="3"/>
        <v>137.8696326738476</v>
      </c>
      <c r="F22" s="107">
        <f t="shared" si="3"/>
        <v>139.24832900058607</v>
      </c>
      <c r="G22" s="107">
        <f t="shared" si="3"/>
        <v>140.64081229059192</v>
      </c>
      <c r="H22" s="107">
        <f t="shared" si="3"/>
        <v>142.04722041349785</v>
      </c>
      <c r="I22" s="107">
        <f t="shared" si="3"/>
        <v>143.46769261763282</v>
      </c>
      <c r="J22" s="107">
        <f t="shared" si="3"/>
        <v>144.90236954380916</v>
      </c>
      <c r="K22" s="107">
        <f t="shared" si="3"/>
        <v>146.35139323924724</v>
      </c>
      <c r="L22" s="110"/>
      <c r="M22" s="110"/>
      <c r="N22" s="110"/>
      <c r="O22" s="110"/>
      <c r="P22" s="530"/>
    </row>
    <row r="23" spans="1:16">
      <c r="A23" s="28" t="s">
        <v>104</v>
      </c>
      <c r="B23" s="106">
        <f>B3*P1*(1-(1+$B$21))/(1-(1+$B$21)^P1)</f>
        <v>335.46841299850183</v>
      </c>
      <c r="C23" s="107">
        <f>B23*(1+$B$21)</f>
        <v>338.82309712848684</v>
      </c>
      <c r="D23" s="107">
        <f t="shared" ref="D23:P23" si="4">C23*(1+$B$21)</f>
        <v>342.21132809977172</v>
      </c>
      <c r="E23" s="107">
        <f t="shared" si="4"/>
        <v>345.63344138076945</v>
      </c>
      <c r="F23" s="107">
        <f t="shared" si="4"/>
        <v>349.08977579457718</v>
      </c>
      <c r="G23" s="107">
        <f t="shared" si="4"/>
        <v>352.58067355252297</v>
      </c>
      <c r="H23" s="107">
        <f t="shared" si="4"/>
        <v>356.1064802880482</v>
      </c>
      <c r="I23" s="107">
        <f t="shared" si="4"/>
        <v>359.66754509092868</v>
      </c>
      <c r="J23" s="107">
        <f t="shared" si="4"/>
        <v>363.26422054183797</v>
      </c>
      <c r="K23" s="107">
        <f t="shared" si="4"/>
        <v>366.89686274725636</v>
      </c>
      <c r="L23" s="107">
        <f t="shared" si="4"/>
        <v>370.56583137472893</v>
      </c>
      <c r="M23" s="107">
        <f t="shared" si="4"/>
        <v>374.27148968847621</v>
      </c>
      <c r="N23" s="107">
        <f t="shared" si="4"/>
        <v>378.01420458536097</v>
      </c>
      <c r="O23" s="107">
        <f t="shared" si="4"/>
        <v>381.79434663121458</v>
      </c>
      <c r="P23" s="302">
        <f t="shared" si="4"/>
        <v>385.61229009752674</v>
      </c>
    </row>
    <row r="24" spans="1:16"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P24" s="217"/>
    </row>
    <row r="25" spans="1:16">
      <c r="A25" s="505" t="s">
        <v>99</v>
      </c>
      <c r="P25" s="217"/>
    </row>
    <row r="26" spans="1:16">
      <c r="A26" s="28" t="s">
        <v>94</v>
      </c>
      <c r="B26" s="527">
        <f t="shared" ref="B26:K26" si="5">B22*B4</f>
        <v>1070519.2573731178</v>
      </c>
      <c r="C26" s="465">
        <f t="shared" si="5"/>
        <v>1756989.7311636298</v>
      </c>
      <c r="D26" s="465">
        <f t="shared" si="5"/>
        <v>2047568.8020868455</v>
      </c>
      <c r="E26" s="465">
        <f t="shared" si="5"/>
        <v>2205914.1227815617</v>
      </c>
      <c r="F26" s="465">
        <f t="shared" si="5"/>
        <v>2088724.935008791</v>
      </c>
      <c r="G26" s="465">
        <f t="shared" si="5"/>
        <v>1828330.559777695</v>
      </c>
      <c r="H26" s="465">
        <f t="shared" si="5"/>
        <v>1278424.9837214807</v>
      </c>
      <c r="I26" s="465">
        <f t="shared" si="5"/>
        <v>1147741.5409410626</v>
      </c>
      <c r="J26" s="465">
        <f t="shared" si="5"/>
        <v>434707.10863142746</v>
      </c>
      <c r="K26" s="465">
        <f t="shared" si="5"/>
        <v>0</v>
      </c>
      <c r="L26" s="525"/>
      <c r="M26" s="525"/>
      <c r="N26" s="525"/>
      <c r="O26" s="525"/>
      <c r="P26" s="526"/>
    </row>
    <row r="27" spans="1:16">
      <c r="A27" s="28" t="s">
        <v>105</v>
      </c>
      <c r="B27" s="527">
        <f t="shared" ref="B27:P27" si="6">B15*B23</f>
        <v>1073498.9215952058</v>
      </c>
      <c r="C27" s="465">
        <f t="shared" si="6"/>
        <v>2575055.5381764998</v>
      </c>
      <c r="D27" s="465">
        <f t="shared" si="6"/>
        <v>3798545.7419074662</v>
      </c>
      <c r="E27" s="465">
        <f t="shared" si="6"/>
        <v>4717896.474847503</v>
      </c>
      <c r="F27" s="465">
        <f t="shared" si="6"/>
        <v>5149074.1929700132</v>
      </c>
      <c r="G27" s="465">
        <f t="shared" si="6"/>
        <v>5024274.5981234526</v>
      </c>
      <c r="H27" s="465">
        <f t="shared" si="6"/>
        <v>4308888.4114853833</v>
      </c>
      <c r="I27" s="465">
        <f t="shared" si="6"/>
        <v>3650625.5826729261</v>
      </c>
      <c r="J27" s="465">
        <f t="shared" si="6"/>
        <v>2542849.5437928657</v>
      </c>
      <c r="K27" s="465">
        <f t="shared" si="6"/>
        <v>1339173.5490274858</v>
      </c>
      <c r="L27" s="465">
        <f t="shared" si="6"/>
        <v>629961.91333703918</v>
      </c>
      <c r="M27" s="465">
        <f t="shared" si="6"/>
        <v>261990.04278193336</v>
      </c>
      <c r="N27" s="465">
        <f t="shared" si="6"/>
        <v>56702.130687804143</v>
      </c>
      <c r="O27" s="465">
        <f t="shared" si="6"/>
        <v>0</v>
      </c>
      <c r="P27" s="466">
        <f t="shared" si="6"/>
        <v>0</v>
      </c>
    </row>
    <row r="29" spans="1:16"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16"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  <row r="31" spans="1:16">
      <c r="B31" s="20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52:AY56"/>
  <sheetViews>
    <sheetView zoomScaleNormal="100" workbookViewId="0"/>
  </sheetViews>
  <sheetFormatPr baseColWidth="10" defaultRowHeight="12.75"/>
  <cols>
    <col min="1" max="1" width="28.7109375" style="67" bestFit="1" customWidth="1"/>
    <col min="2" max="2" width="14.5703125" style="67" bestFit="1" customWidth="1"/>
    <col min="3" max="8" width="13.42578125" style="67" bestFit="1" customWidth="1"/>
    <col min="9" max="10" width="11.85546875" style="67" bestFit="1" customWidth="1"/>
    <col min="11" max="11" width="13.42578125" style="67" bestFit="1" customWidth="1"/>
    <col min="12" max="12" width="11.85546875" style="67" bestFit="1" customWidth="1"/>
    <col min="13" max="16" width="13.42578125" style="67" bestFit="1" customWidth="1"/>
    <col min="17" max="51" width="11.85546875" style="67" bestFit="1" customWidth="1"/>
    <col min="52" max="16384" width="11.42578125" style="67"/>
  </cols>
  <sheetData>
    <row r="52" spans="1:51">
      <c r="A52" s="83"/>
    </row>
    <row r="54" spans="1:51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</row>
    <row r="56" spans="1:51">
      <c r="A56" s="20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59999389629810485"/>
  </sheetPr>
  <dimension ref="A1:AZ2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2.75"/>
  <cols>
    <col min="1" max="1" width="58.140625" style="67" bestFit="1" customWidth="1"/>
    <col min="2" max="2" width="38.42578125" style="23" bestFit="1" customWidth="1"/>
    <col min="3" max="52" width="8.140625" style="67" customWidth="1"/>
    <col min="53" max="16384" width="11.42578125" style="67"/>
  </cols>
  <sheetData>
    <row r="1" spans="1:52">
      <c r="A1" s="252"/>
      <c r="B1" s="258" t="s">
        <v>92</v>
      </c>
    </row>
    <row r="2" spans="1:52" s="55" customFormat="1">
      <c r="A2" s="253" t="s">
        <v>133</v>
      </c>
      <c r="B2" s="180">
        <f>'Tableau de bord'!B9</f>
        <v>25</v>
      </c>
    </row>
    <row r="3" spans="1:52" s="55" customFormat="1">
      <c r="A3" s="253" t="s">
        <v>131</v>
      </c>
      <c r="B3" s="257">
        <f>'Tableau de bord'!B34</f>
        <v>0.4</v>
      </c>
    </row>
    <row r="4" spans="1:52" s="55" customFormat="1" ht="13.5" thickBot="1">
      <c r="A4" s="253"/>
      <c r="B4" s="179"/>
    </row>
    <row r="5" spans="1:52" s="55" customFormat="1" ht="14.25" thickTop="1" thickBot="1">
      <c r="A5" s="253" t="s">
        <v>130</v>
      </c>
      <c r="B5" s="54" t="s">
        <v>51</v>
      </c>
      <c r="C5" s="55">
        <v>0</v>
      </c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55">
        <v>12</v>
      </c>
      <c r="P5" s="55">
        <v>13</v>
      </c>
      <c r="Q5" s="55">
        <v>14</v>
      </c>
      <c r="R5" s="55">
        <v>15</v>
      </c>
      <c r="S5" s="55">
        <v>16</v>
      </c>
      <c r="T5" s="55">
        <v>17</v>
      </c>
      <c r="U5" s="55">
        <v>18</v>
      </c>
      <c r="V5" s="55">
        <v>19</v>
      </c>
      <c r="W5" s="55">
        <v>20</v>
      </c>
      <c r="X5" s="55">
        <v>21</v>
      </c>
      <c r="Y5" s="55">
        <v>22</v>
      </c>
      <c r="Z5" s="55">
        <v>23</v>
      </c>
      <c r="AA5" s="55">
        <v>24</v>
      </c>
      <c r="AB5" s="55">
        <v>25</v>
      </c>
      <c r="AC5" s="55">
        <v>26</v>
      </c>
      <c r="AD5" s="55">
        <v>27</v>
      </c>
      <c r="AE5" s="55">
        <v>28</v>
      </c>
      <c r="AF5" s="55">
        <v>29</v>
      </c>
      <c r="AG5" s="55">
        <v>30</v>
      </c>
      <c r="AH5" s="55">
        <v>31</v>
      </c>
      <c r="AI5" s="55">
        <v>32</v>
      </c>
      <c r="AJ5" s="55">
        <v>33</v>
      </c>
      <c r="AK5" s="55">
        <v>34</v>
      </c>
      <c r="AL5" s="55">
        <v>35</v>
      </c>
      <c r="AM5" s="55">
        <v>36</v>
      </c>
      <c r="AN5" s="55">
        <v>37</v>
      </c>
      <c r="AO5" s="55">
        <v>38</v>
      </c>
      <c r="AP5" s="55">
        <v>39</v>
      </c>
      <c r="AQ5" s="55">
        <v>40</v>
      </c>
      <c r="AR5" s="55">
        <v>41</v>
      </c>
      <c r="AS5" s="55">
        <v>42</v>
      </c>
      <c r="AT5" s="55">
        <v>43</v>
      </c>
      <c r="AU5" s="55">
        <v>44</v>
      </c>
      <c r="AV5" s="55">
        <v>45</v>
      </c>
      <c r="AW5" s="55">
        <v>46</v>
      </c>
      <c r="AX5" s="55">
        <v>47</v>
      </c>
      <c r="AY5" s="55">
        <v>48</v>
      </c>
      <c r="AZ5" s="55">
        <v>49</v>
      </c>
    </row>
    <row r="6" spans="1:52" s="55" customFormat="1" ht="13.5" thickTop="1">
      <c r="A6" s="253" t="s">
        <v>10</v>
      </c>
      <c r="B6" s="56" t="str">
        <f>'Tableau de bord'!B71</f>
        <v>DSL (2002-2013)</v>
      </c>
      <c r="C6" s="57"/>
      <c r="D6" s="58">
        <f>'Tableau de bord'!C71</f>
        <v>2.3287816455696202E-2</v>
      </c>
      <c r="E6" s="59">
        <f>'Tableau de bord'!D71</f>
        <v>6.8325787974683541E-2</v>
      </c>
      <c r="F6" s="59">
        <f>'Tableau de bord'!E71</f>
        <v>0.13493844936708863</v>
      </c>
      <c r="G6" s="59">
        <f>'Tableau de bord'!F71</f>
        <v>0.22834949367088608</v>
      </c>
      <c r="H6" s="59">
        <f>'Tableau de bord'!G71</f>
        <v>0.3201815490506329</v>
      </c>
      <c r="I6" s="59">
        <f>'Tableau de bord'!H71</f>
        <v>0.41276873259493668</v>
      </c>
      <c r="J6" s="59">
        <f>'Tableau de bord'!I71</f>
        <v>0.49387738924050634</v>
      </c>
      <c r="K6" s="59">
        <f>'Tableau de bord'!J71</f>
        <v>0.55469642405063291</v>
      </c>
      <c r="L6" s="59">
        <f>'Tableau de bord'!K71</f>
        <v>0.60899835901898736</v>
      </c>
      <c r="M6" s="59">
        <f>'Tableau de bord'!L71</f>
        <v>0.65139578322784808</v>
      </c>
      <c r="N6" s="59">
        <f>'Tableau de bord'!M71</f>
        <v>0.68600728639240505</v>
      </c>
      <c r="O6" s="59">
        <f>'Tableau de bord'!N71</f>
        <v>0.71</v>
      </c>
      <c r="P6" s="59">
        <f>'Tableau de bord'!O71</f>
        <v>0.72237664936835588</v>
      </c>
      <c r="Q6" s="59">
        <f>'Tableau de bord'!P71</f>
        <v>0.73855120464462765</v>
      </c>
      <c r="R6" s="59">
        <f>'Tableau de bord'!Q71</f>
        <v>0.75030224114249966</v>
      </c>
      <c r="S6" s="59">
        <f>'Tableau de bord'!R71</f>
        <v>0.75965381351725836</v>
      </c>
      <c r="T6" s="59">
        <f>'Tableau de bord'!S71</f>
        <v>0.77205735800551212</v>
      </c>
      <c r="U6" s="59">
        <f>'Tableau de bord'!T71</f>
        <v>0.7775916420363409</v>
      </c>
      <c r="V6" s="59">
        <f>'Tableau de bord'!U71</f>
        <v>0.78883585002935774</v>
      </c>
      <c r="W6" s="59">
        <f>'Tableau de bord'!V71</f>
        <v>0.79280852233329346</v>
      </c>
      <c r="X6" s="59">
        <f>'Tableau de bord'!W71</f>
        <v>0.80026026751359614</v>
      </c>
      <c r="Y6" s="59">
        <f>'Tableau de bord'!X71</f>
        <v>0.8049579331479082</v>
      </c>
      <c r="Z6" s="59">
        <f>'Tableau de bord'!Y71</f>
        <v>0.8049579331479082</v>
      </c>
      <c r="AA6" s="59">
        <f>'Tableau de bord'!Z71</f>
        <v>0.8049579331479082</v>
      </c>
      <c r="AB6" s="59">
        <f>'Tableau de bord'!AA71</f>
        <v>0.8049579331479082</v>
      </c>
      <c r="AC6" s="59">
        <f>'Tableau de bord'!AB71</f>
        <v>0.8049579331479082</v>
      </c>
      <c r="AD6" s="59">
        <f>'Tableau de bord'!AC71</f>
        <v>0.8049579331479082</v>
      </c>
      <c r="AE6" s="59">
        <f>'Tableau de bord'!AD71</f>
        <v>0.8049579331479082</v>
      </c>
      <c r="AF6" s="59">
        <f>'Tableau de bord'!AE71</f>
        <v>0.8049579331479082</v>
      </c>
      <c r="AG6" s="59">
        <f>'Tableau de bord'!AF71</f>
        <v>0.8049579331479082</v>
      </c>
      <c r="AH6" s="59">
        <f>'Tableau de bord'!AG71</f>
        <v>0.8049579331479082</v>
      </c>
      <c r="AI6" s="59">
        <f>'Tableau de bord'!AH71</f>
        <v>0.8049579331479082</v>
      </c>
      <c r="AJ6" s="59">
        <f>'Tableau de bord'!AI71</f>
        <v>0.8049579331479082</v>
      </c>
      <c r="AK6" s="59">
        <f>'Tableau de bord'!AJ71</f>
        <v>0.8049579331479082</v>
      </c>
      <c r="AL6" s="59">
        <f>'Tableau de bord'!AK71</f>
        <v>0.8049579331479082</v>
      </c>
      <c r="AM6" s="59">
        <f>'Tableau de bord'!AL71</f>
        <v>0.8049579331479082</v>
      </c>
      <c r="AN6" s="59">
        <f>'Tableau de bord'!AM71</f>
        <v>0.8049579331479082</v>
      </c>
      <c r="AO6" s="59">
        <f>'Tableau de bord'!AN71</f>
        <v>0.8049579331479082</v>
      </c>
      <c r="AP6" s="59">
        <f>'Tableau de bord'!AO71</f>
        <v>0.8049579331479082</v>
      </c>
      <c r="AQ6" s="59">
        <f>'Tableau de bord'!AP71</f>
        <v>0.8049579331479082</v>
      </c>
      <c r="AR6" s="59">
        <f>'Tableau de bord'!AQ71</f>
        <v>0.8049579331479082</v>
      </c>
      <c r="AS6" s="59">
        <f>'Tableau de bord'!AR71</f>
        <v>0.8049579331479082</v>
      </c>
      <c r="AT6" s="59">
        <f>'Tableau de bord'!AS71</f>
        <v>0.8049579331479082</v>
      </c>
      <c r="AU6" s="59">
        <f>'Tableau de bord'!AT71</f>
        <v>0.8049579331479082</v>
      </c>
      <c r="AV6" s="59">
        <f>'Tableau de bord'!AU71</f>
        <v>0.8049579331479082</v>
      </c>
      <c r="AW6" s="59">
        <f>'Tableau de bord'!AV71</f>
        <v>0.8049579331479082</v>
      </c>
      <c r="AX6" s="59">
        <f>'Tableau de bord'!AW71</f>
        <v>0.8049579331479082</v>
      </c>
      <c r="AY6" s="59">
        <f>'Tableau de bord'!AX71</f>
        <v>0.8049579331479082</v>
      </c>
      <c r="AZ6" s="60">
        <f>'Tableau de bord'!AY71</f>
        <v>0.8049579331479082</v>
      </c>
    </row>
    <row r="7" spans="1:52">
      <c r="A7" s="254" t="s">
        <v>111</v>
      </c>
      <c r="B7" s="62" t="str">
        <f>'Tableau de bord'!B79</f>
        <v>Régulation asymétrique 2014</v>
      </c>
      <c r="C7" s="63"/>
      <c r="D7" s="64">
        <f>'Tableau de bord'!C79</f>
        <v>9.5000000000000001E-2</v>
      </c>
      <c r="E7" s="65">
        <f>'Tableau de bord'!D79</f>
        <v>9.5000000000000001E-2</v>
      </c>
      <c r="F7" s="65">
        <f>'Tableau de bord'!E79</f>
        <v>9.5000000000000001E-2</v>
      </c>
      <c r="G7" s="65">
        <f>'Tableau de bord'!F79</f>
        <v>9.5000000000000001E-2</v>
      </c>
      <c r="H7" s="65">
        <f>'Tableau de bord'!G79</f>
        <v>9.5000000000000001E-2</v>
      </c>
      <c r="I7" s="65">
        <f>'Tableau de bord'!H79</f>
        <v>9.5000000000000001E-2</v>
      </c>
      <c r="J7" s="65">
        <f>'Tableau de bord'!I79</f>
        <v>9.5000000000000001E-2</v>
      </c>
      <c r="K7" s="65">
        <f>'Tableau de bord'!J79</f>
        <v>9.5000000000000001E-2</v>
      </c>
      <c r="L7" s="65">
        <f>'Tableau de bord'!K79</f>
        <v>9.5000000000000001E-2</v>
      </c>
      <c r="M7" s="65">
        <f>'Tableau de bord'!L79</f>
        <v>9.5000000000000001E-2</v>
      </c>
      <c r="N7" s="65">
        <f>'Tableau de bord'!M79</f>
        <v>9.5000000000000001E-2</v>
      </c>
      <c r="O7" s="65">
        <f>'Tableau de bord'!N79</f>
        <v>9.5000000000000001E-2</v>
      </c>
      <c r="P7" s="65">
        <f>'Tableau de bord'!O79</f>
        <v>9.5000000000000001E-2</v>
      </c>
      <c r="Q7" s="65">
        <f>'Tableau de bord'!P79</f>
        <v>9.5000000000000001E-2</v>
      </c>
      <c r="R7" s="65">
        <f>'Tableau de bord'!Q79</f>
        <v>9.5000000000000001E-2</v>
      </c>
      <c r="S7" s="65">
        <f>'Tableau de bord'!R79</f>
        <v>9.5000000000000001E-2</v>
      </c>
      <c r="T7" s="65">
        <f>'Tableau de bord'!S79</f>
        <v>9.5000000000000001E-2</v>
      </c>
      <c r="U7" s="65">
        <f>'Tableau de bord'!T79</f>
        <v>9.5000000000000001E-2</v>
      </c>
      <c r="V7" s="65">
        <f>'Tableau de bord'!U79</f>
        <v>9.5000000000000001E-2</v>
      </c>
      <c r="W7" s="65">
        <f>'Tableau de bord'!V79</f>
        <v>9.5000000000000001E-2</v>
      </c>
      <c r="X7" s="65">
        <f>'Tableau de bord'!W79</f>
        <v>9.5000000000000001E-2</v>
      </c>
      <c r="Y7" s="65">
        <f>'Tableau de bord'!X79</f>
        <v>9.5000000000000001E-2</v>
      </c>
      <c r="Z7" s="65">
        <f>'Tableau de bord'!Y79</f>
        <v>9.5000000000000001E-2</v>
      </c>
      <c r="AA7" s="65">
        <f>'Tableau de bord'!Z79</f>
        <v>9.5000000000000001E-2</v>
      </c>
      <c r="AB7" s="65">
        <f>'Tableau de bord'!AA79</f>
        <v>9.5000000000000001E-2</v>
      </c>
      <c r="AC7" s="65">
        <f>'Tableau de bord'!AB79</f>
        <v>9.5000000000000001E-2</v>
      </c>
      <c r="AD7" s="65">
        <f>'Tableau de bord'!AC79</f>
        <v>9.5000000000000001E-2</v>
      </c>
      <c r="AE7" s="65">
        <f>'Tableau de bord'!AD79</f>
        <v>9.5000000000000001E-2</v>
      </c>
      <c r="AF7" s="65">
        <f>'Tableau de bord'!AE79</f>
        <v>9.5000000000000001E-2</v>
      </c>
      <c r="AG7" s="65">
        <f>'Tableau de bord'!AF79</f>
        <v>9.5000000000000001E-2</v>
      </c>
      <c r="AH7" s="65">
        <f>'Tableau de bord'!AG79</f>
        <v>9.5000000000000001E-2</v>
      </c>
      <c r="AI7" s="65">
        <f>'Tableau de bord'!AH79</f>
        <v>9.5000000000000001E-2</v>
      </c>
      <c r="AJ7" s="65">
        <f>'Tableau de bord'!AI79</f>
        <v>9.5000000000000001E-2</v>
      </c>
      <c r="AK7" s="65">
        <f>'Tableau de bord'!AJ79</f>
        <v>9.5000000000000001E-2</v>
      </c>
      <c r="AL7" s="65">
        <f>'Tableau de bord'!AK79</f>
        <v>9.5000000000000001E-2</v>
      </c>
      <c r="AM7" s="65">
        <f>'Tableau de bord'!AL79</f>
        <v>9.5000000000000001E-2</v>
      </c>
      <c r="AN7" s="65">
        <f>'Tableau de bord'!AM79</f>
        <v>9.5000000000000001E-2</v>
      </c>
      <c r="AO7" s="65">
        <f>'Tableau de bord'!AN79</f>
        <v>9.5000000000000001E-2</v>
      </c>
      <c r="AP7" s="65">
        <f>'Tableau de bord'!AO79</f>
        <v>9.5000000000000001E-2</v>
      </c>
      <c r="AQ7" s="65">
        <f>'Tableau de bord'!AP79</f>
        <v>9.5000000000000001E-2</v>
      </c>
      <c r="AR7" s="65">
        <f>'Tableau de bord'!AQ79</f>
        <v>9.5000000000000001E-2</v>
      </c>
      <c r="AS7" s="65">
        <f>'Tableau de bord'!AR79</f>
        <v>9.5000000000000001E-2</v>
      </c>
      <c r="AT7" s="65">
        <f>'Tableau de bord'!AS79</f>
        <v>9.5000000000000001E-2</v>
      </c>
      <c r="AU7" s="65">
        <f>'Tableau de bord'!AT79</f>
        <v>9.5000000000000001E-2</v>
      </c>
      <c r="AV7" s="65">
        <f>'Tableau de bord'!AU79</f>
        <v>9.5000000000000001E-2</v>
      </c>
      <c r="AW7" s="65">
        <f>'Tableau de bord'!AV79</f>
        <v>9.5000000000000001E-2</v>
      </c>
      <c r="AX7" s="65">
        <f>'Tableau de bord'!AW79</f>
        <v>9.5000000000000001E-2</v>
      </c>
      <c r="AY7" s="65">
        <f>'Tableau de bord'!AX79</f>
        <v>9.5000000000000001E-2</v>
      </c>
      <c r="AZ7" s="66">
        <f>'Tableau de bord'!AY79</f>
        <v>9.5000000000000001E-2</v>
      </c>
    </row>
    <row r="8" spans="1:52">
      <c r="A8" s="254" t="s">
        <v>2</v>
      </c>
      <c r="B8" s="62" t="str">
        <f>'Tableau de bord'!B91</f>
        <v>PLF 2014</v>
      </c>
      <c r="C8" s="63"/>
      <c r="D8" s="64">
        <f>'Tableau de bord'!C91</f>
        <v>1.2999999999999999E-2</v>
      </c>
      <c r="E8" s="65">
        <f>'Tableau de bord'!D91</f>
        <v>1.2999999999999999E-2</v>
      </c>
      <c r="F8" s="65">
        <f>'Tableau de bord'!E91</f>
        <v>1.2999999999999999E-2</v>
      </c>
      <c r="G8" s="65">
        <f>'Tableau de bord'!F91</f>
        <v>1.2999999999999999E-2</v>
      </c>
      <c r="H8" s="65">
        <f>'Tableau de bord'!G91</f>
        <v>1.2999999999999999E-2</v>
      </c>
      <c r="I8" s="65">
        <f>'Tableau de bord'!H91</f>
        <v>1.2999999999999999E-2</v>
      </c>
      <c r="J8" s="65">
        <f>'Tableau de bord'!I91</f>
        <v>1.2999999999999999E-2</v>
      </c>
      <c r="K8" s="65">
        <f>'Tableau de bord'!J91</f>
        <v>1.2999999999999999E-2</v>
      </c>
      <c r="L8" s="65">
        <f>'Tableau de bord'!K91</f>
        <v>1.2999999999999999E-2</v>
      </c>
      <c r="M8" s="65">
        <f>'Tableau de bord'!L91</f>
        <v>1.2999999999999999E-2</v>
      </c>
      <c r="N8" s="65">
        <f>'Tableau de bord'!M91</f>
        <v>1.2999999999999999E-2</v>
      </c>
      <c r="O8" s="65">
        <f>'Tableau de bord'!N91</f>
        <v>1.2999999999999999E-2</v>
      </c>
      <c r="P8" s="65">
        <f>'Tableau de bord'!O91</f>
        <v>1.2999999999999999E-2</v>
      </c>
      <c r="Q8" s="65">
        <f>'Tableau de bord'!P91</f>
        <v>1.2999999999999999E-2</v>
      </c>
      <c r="R8" s="65">
        <f>'Tableau de bord'!Q91</f>
        <v>1.2999999999999999E-2</v>
      </c>
      <c r="S8" s="65">
        <f>'Tableau de bord'!R91</f>
        <v>1.2999999999999999E-2</v>
      </c>
      <c r="T8" s="65">
        <f>'Tableau de bord'!S91</f>
        <v>1.2999999999999999E-2</v>
      </c>
      <c r="U8" s="65">
        <f>'Tableau de bord'!T91</f>
        <v>1.2999999999999999E-2</v>
      </c>
      <c r="V8" s="65">
        <f>'Tableau de bord'!U91</f>
        <v>1.2999999999999999E-2</v>
      </c>
      <c r="W8" s="65">
        <f>'Tableau de bord'!V91</f>
        <v>1.2999999999999999E-2</v>
      </c>
      <c r="X8" s="65">
        <f>'Tableau de bord'!W91</f>
        <v>1.2999999999999999E-2</v>
      </c>
      <c r="Y8" s="65">
        <f>'Tableau de bord'!X91</f>
        <v>1.2999999999999999E-2</v>
      </c>
      <c r="Z8" s="65">
        <f>'Tableau de bord'!Y91</f>
        <v>1.2999999999999999E-2</v>
      </c>
      <c r="AA8" s="65">
        <f>'Tableau de bord'!Z91</f>
        <v>1.2999999999999999E-2</v>
      </c>
      <c r="AB8" s="65">
        <f>'Tableau de bord'!AA91</f>
        <v>1.2999999999999999E-2</v>
      </c>
      <c r="AC8" s="65">
        <f>'Tableau de bord'!AB91</f>
        <v>1.2999999999999999E-2</v>
      </c>
      <c r="AD8" s="65">
        <f>'Tableau de bord'!AC91</f>
        <v>1.2999999999999999E-2</v>
      </c>
      <c r="AE8" s="65">
        <f>'Tableau de bord'!AD91</f>
        <v>1.2999999999999999E-2</v>
      </c>
      <c r="AF8" s="65">
        <f>'Tableau de bord'!AE91</f>
        <v>1.2999999999999999E-2</v>
      </c>
      <c r="AG8" s="65">
        <f>'Tableau de bord'!AF91</f>
        <v>1.2999999999999999E-2</v>
      </c>
      <c r="AH8" s="65">
        <f>'Tableau de bord'!AG91</f>
        <v>1.2999999999999999E-2</v>
      </c>
      <c r="AI8" s="65">
        <f>'Tableau de bord'!AH91</f>
        <v>1.2999999999999999E-2</v>
      </c>
      <c r="AJ8" s="65">
        <f>'Tableau de bord'!AI91</f>
        <v>1.2999999999999999E-2</v>
      </c>
      <c r="AK8" s="65">
        <f>'Tableau de bord'!AJ91</f>
        <v>1.2999999999999999E-2</v>
      </c>
      <c r="AL8" s="65">
        <f>'Tableau de bord'!AK91</f>
        <v>1.2999999999999999E-2</v>
      </c>
      <c r="AM8" s="65">
        <f>'Tableau de bord'!AL91</f>
        <v>1.2999999999999999E-2</v>
      </c>
      <c r="AN8" s="65">
        <f>'Tableau de bord'!AM91</f>
        <v>1.2999999999999999E-2</v>
      </c>
      <c r="AO8" s="65">
        <f>'Tableau de bord'!AN91</f>
        <v>1.2999999999999999E-2</v>
      </c>
      <c r="AP8" s="65">
        <f>'Tableau de bord'!AO91</f>
        <v>1.2999999999999999E-2</v>
      </c>
      <c r="AQ8" s="65">
        <f>'Tableau de bord'!AP91</f>
        <v>1.2999999999999999E-2</v>
      </c>
      <c r="AR8" s="65">
        <f>'Tableau de bord'!AQ91</f>
        <v>1.2999999999999999E-2</v>
      </c>
      <c r="AS8" s="65">
        <f>'Tableau de bord'!AR91</f>
        <v>1.2999999999999999E-2</v>
      </c>
      <c r="AT8" s="65">
        <f>'Tableau de bord'!AS91</f>
        <v>1.2999999999999999E-2</v>
      </c>
      <c r="AU8" s="65">
        <f>'Tableau de bord'!AT91</f>
        <v>1.2999999999999999E-2</v>
      </c>
      <c r="AV8" s="65">
        <f>'Tableau de bord'!AU91</f>
        <v>1.2999999999999999E-2</v>
      </c>
      <c r="AW8" s="65">
        <f>'Tableau de bord'!AV91</f>
        <v>1.2999999999999999E-2</v>
      </c>
      <c r="AX8" s="65">
        <f>'Tableau de bord'!AW91</f>
        <v>1.2999999999999999E-2</v>
      </c>
      <c r="AY8" s="65">
        <f>'Tableau de bord'!AX91</f>
        <v>1.2999999999999999E-2</v>
      </c>
      <c r="AZ8" s="66">
        <f>'Tableau de bord'!AY91</f>
        <v>1.2999999999999999E-2</v>
      </c>
    </row>
    <row r="9" spans="1:52">
      <c r="A9" s="254"/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</row>
    <row r="10" spans="1:52">
      <c r="A10" s="254" t="s">
        <v>37</v>
      </c>
      <c r="B10" s="71" t="str">
        <f>'Tableau de bord'!B36</f>
        <v>Modèle 2010</v>
      </c>
      <c r="C10" s="69"/>
      <c r="D10" s="64">
        <f>'Tableau de bord'!C36</f>
        <v>4.5999999999999999E-2</v>
      </c>
      <c r="E10" s="65">
        <f>'Tableau de bord'!D36</f>
        <v>4.5999999999999999E-2</v>
      </c>
      <c r="F10" s="65">
        <f>'Tableau de bord'!E36</f>
        <v>4.5999999999999999E-2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3"/>
    </row>
    <row r="11" spans="1:52">
      <c r="A11" s="254"/>
      <c r="B11" s="67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52" s="77" customFormat="1">
      <c r="A12" s="255" t="s">
        <v>3</v>
      </c>
      <c r="B12" s="27"/>
      <c r="C12" s="69"/>
      <c r="D12" s="74">
        <f t="shared" ref="D12:AI12" si="0">D7+D10</f>
        <v>0.14100000000000001</v>
      </c>
      <c r="E12" s="75">
        <f t="shared" si="0"/>
        <v>0.14100000000000001</v>
      </c>
      <c r="F12" s="75">
        <f t="shared" si="0"/>
        <v>0.14100000000000001</v>
      </c>
      <c r="G12" s="75">
        <f t="shared" si="0"/>
        <v>9.5000000000000001E-2</v>
      </c>
      <c r="H12" s="75">
        <f t="shared" si="0"/>
        <v>9.5000000000000001E-2</v>
      </c>
      <c r="I12" s="75">
        <f t="shared" si="0"/>
        <v>9.5000000000000001E-2</v>
      </c>
      <c r="J12" s="75">
        <f t="shared" si="0"/>
        <v>9.5000000000000001E-2</v>
      </c>
      <c r="K12" s="75">
        <f t="shared" si="0"/>
        <v>9.5000000000000001E-2</v>
      </c>
      <c r="L12" s="75">
        <f t="shared" si="0"/>
        <v>9.5000000000000001E-2</v>
      </c>
      <c r="M12" s="75">
        <f t="shared" si="0"/>
        <v>9.5000000000000001E-2</v>
      </c>
      <c r="N12" s="75">
        <f t="shared" si="0"/>
        <v>9.5000000000000001E-2</v>
      </c>
      <c r="O12" s="75">
        <f t="shared" si="0"/>
        <v>9.5000000000000001E-2</v>
      </c>
      <c r="P12" s="75">
        <f t="shared" si="0"/>
        <v>9.5000000000000001E-2</v>
      </c>
      <c r="Q12" s="75">
        <f t="shared" si="0"/>
        <v>9.5000000000000001E-2</v>
      </c>
      <c r="R12" s="75">
        <f t="shared" si="0"/>
        <v>9.5000000000000001E-2</v>
      </c>
      <c r="S12" s="75">
        <f t="shared" si="0"/>
        <v>9.5000000000000001E-2</v>
      </c>
      <c r="T12" s="75">
        <f t="shared" si="0"/>
        <v>9.5000000000000001E-2</v>
      </c>
      <c r="U12" s="75">
        <f t="shared" si="0"/>
        <v>9.5000000000000001E-2</v>
      </c>
      <c r="V12" s="75">
        <f t="shared" si="0"/>
        <v>9.5000000000000001E-2</v>
      </c>
      <c r="W12" s="75">
        <f t="shared" si="0"/>
        <v>9.5000000000000001E-2</v>
      </c>
      <c r="X12" s="75">
        <f t="shared" si="0"/>
        <v>9.5000000000000001E-2</v>
      </c>
      <c r="Y12" s="75">
        <f t="shared" si="0"/>
        <v>9.5000000000000001E-2</v>
      </c>
      <c r="Z12" s="75">
        <f t="shared" si="0"/>
        <v>9.5000000000000001E-2</v>
      </c>
      <c r="AA12" s="75">
        <f t="shared" si="0"/>
        <v>9.5000000000000001E-2</v>
      </c>
      <c r="AB12" s="75">
        <f t="shared" si="0"/>
        <v>9.5000000000000001E-2</v>
      </c>
      <c r="AC12" s="75">
        <f t="shared" si="0"/>
        <v>9.5000000000000001E-2</v>
      </c>
      <c r="AD12" s="75">
        <f t="shared" si="0"/>
        <v>9.5000000000000001E-2</v>
      </c>
      <c r="AE12" s="75">
        <f t="shared" si="0"/>
        <v>9.5000000000000001E-2</v>
      </c>
      <c r="AF12" s="75">
        <f t="shared" si="0"/>
        <v>9.5000000000000001E-2</v>
      </c>
      <c r="AG12" s="75">
        <f t="shared" si="0"/>
        <v>9.5000000000000001E-2</v>
      </c>
      <c r="AH12" s="75">
        <f t="shared" si="0"/>
        <v>9.5000000000000001E-2</v>
      </c>
      <c r="AI12" s="75">
        <f t="shared" si="0"/>
        <v>9.5000000000000001E-2</v>
      </c>
      <c r="AJ12" s="75">
        <f t="shared" ref="AJ12:AZ12" si="1">AJ7+AJ10</f>
        <v>9.5000000000000001E-2</v>
      </c>
      <c r="AK12" s="75">
        <f t="shared" si="1"/>
        <v>9.5000000000000001E-2</v>
      </c>
      <c r="AL12" s="75">
        <f t="shared" si="1"/>
        <v>9.5000000000000001E-2</v>
      </c>
      <c r="AM12" s="75">
        <f t="shared" si="1"/>
        <v>9.5000000000000001E-2</v>
      </c>
      <c r="AN12" s="75">
        <f t="shared" si="1"/>
        <v>9.5000000000000001E-2</v>
      </c>
      <c r="AO12" s="75">
        <f t="shared" si="1"/>
        <v>9.5000000000000001E-2</v>
      </c>
      <c r="AP12" s="75">
        <f t="shared" si="1"/>
        <v>9.5000000000000001E-2</v>
      </c>
      <c r="AQ12" s="75">
        <f t="shared" si="1"/>
        <v>9.5000000000000001E-2</v>
      </c>
      <c r="AR12" s="75">
        <f t="shared" si="1"/>
        <v>9.5000000000000001E-2</v>
      </c>
      <c r="AS12" s="75">
        <f t="shared" si="1"/>
        <v>9.5000000000000001E-2</v>
      </c>
      <c r="AT12" s="75">
        <f t="shared" si="1"/>
        <v>9.5000000000000001E-2</v>
      </c>
      <c r="AU12" s="75">
        <f t="shared" si="1"/>
        <v>9.5000000000000001E-2</v>
      </c>
      <c r="AV12" s="75">
        <f t="shared" si="1"/>
        <v>9.5000000000000001E-2</v>
      </c>
      <c r="AW12" s="75">
        <f t="shared" si="1"/>
        <v>9.5000000000000001E-2</v>
      </c>
      <c r="AX12" s="75">
        <f t="shared" si="1"/>
        <v>9.5000000000000001E-2</v>
      </c>
      <c r="AY12" s="75">
        <f t="shared" si="1"/>
        <v>9.5000000000000001E-2</v>
      </c>
      <c r="AZ12" s="76">
        <f t="shared" si="1"/>
        <v>9.5000000000000001E-2</v>
      </c>
    </row>
    <row r="13" spans="1:52" s="77" customFormat="1">
      <c r="A13" s="255" t="s">
        <v>13</v>
      </c>
      <c r="B13" s="27"/>
      <c r="C13" s="78"/>
      <c r="D13" s="79">
        <f>1/(1+D7+D10)</f>
        <v>0.87642418930762489</v>
      </c>
      <c r="E13" s="80">
        <f>D13/(1+E12)</f>
        <v>0.76811935960352751</v>
      </c>
      <c r="F13" s="80">
        <f>E13/(1+F12)</f>
        <v>0.67319838703201362</v>
      </c>
      <c r="G13" s="80">
        <f>F13/(1+G12)</f>
        <v>0.61479304751782071</v>
      </c>
      <c r="H13" s="80">
        <f t="shared" ref="H13:AG13" si="2">G13/(1+H12)</f>
        <v>0.56145483791581796</v>
      </c>
      <c r="I13" s="80">
        <f t="shared" si="2"/>
        <v>0.51274414421535885</v>
      </c>
      <c r="J13" s="80">
        <f t="shared" si="2"/>
        <v>0.46825949243411769</v>
      </c>
      <c r="K13" s="80">
        <f t="shared" si="2"/>
        <v>0.42763423966586089</v>
      </c>
      <c r="L13" s="80">
        <f t="shared" si="2"/>
        <v>0.39053355220626568</v>
      </c>
      <c r="M13" s="80">
        <f t="shared" si="2"/>
        <v>0.35665164585047093</v>
      </c>
      <c r="N13" s="80">
        <f t="shared" si="2"/>
        <v>0.32570926561686842</v>
      </c>
      <c r="O13" s="80">
        <f t="shared" si="2"/>
        <v>0.297451384124994</v>
      </c>
      <c r="P13" s="80">
        <f t="shared" si="2"/>
        <v>0.27164509965752875</v>
      </c>
      <c r="Q13" s="80">
        <f t="shared" si="2"/>
        <v>0.24807771658221806</v>
      </c>
      <c r="R13" s="80">
        <f t="shared" si="2"/>
        <v>0.2265549923125279</v>
      </c>
      <c r="S13" s="80">
        <f t="shared" si="2"/>
        <v>0.20689953635847297</v>
      </c>
      <c r="T13" s="80">
        <f t="shared" si="2"/>
        <v>0.18894934827257806</v>
      </c>
      <c r="U13" s="80">
        <f t="shared" si="2"/>
        <v>0.17255648244071056</v>
      </c>
      <c r="V13" s="80">
        <f t="shared" si="2"/>
        <v>0.15758582871297769</v>
      </c>
      <c r="W13" s="80">
        <f t="shared" si="2"/>
        <v>0.14391399882463715</v>
      </c>
      <c r="X13" s="80">
        <f t="shared" si="2"/>
        <v>0.13142830942889239</v>
      </c>
      <c r="Y13" s="80">
        <f t="shared" si="2"/>
        <v>0.12002585335971908</v>
      </c>
      <c r="Z13" s="80">
        <f t="shared" si="2"/>
        <v>0.10961265147006309</v>
      </c>
      <c r="AA13" s="80">
        <f t="shared" si="2"/>
        <v>0.10010287805485214</v>
      </c>
      <c r="AB13" s="80">
        <f t="shared" si="2"/>
        <v>9.1418153474750824E-2</v>
      </c>
      <c r="AC13" s="80">
        <f t="shared" si="2"/>
        <v>8.3486898150457373E-2</v>
      </c>
      <c r="AD13" s="80">
        <f t="shared" si="2"/>
        <v>7.6243742603157416E-2</v>
      </c>
      <c r="AE13" s="80">
        <f t="shared" si="2"/>
        <v>6.9628988678682571E-2</v>
      </c>
      <c r="AF13" s="80">
        <f t="shared" si="2"/>
        <v>6.3588117514778608E-2</v>
      </c>
      <c r="AG13" s="80">
        <f t="shared" si="2"/>
        <v>5.8071340196144849E-2</v>
      </c>
      <c r="AH13" s="80">
        <f t="shared" ref="AH13" si="3">AG13/(1+AH12)</f>
        <v>5.3033187393739592E-2</v>
      </c>
      <c r="AI13" s="80">
        <f t="shared" ref="AI13" si="4">AH13/(1+AI12)</f>
        <v>4.8432134606154878E-2</v>
      </c>
      <c r="AJ13" s="80">
        <f t="shared" ref="AJ13" si="5">AI13/(1+AJ12)</f>
        <v>4.4230259914296695E-2</v>
      </c>
      <c r="AK13" s="80">
        <f t="shared" ref="AK13" si="6">AJ13/(1+AK12)</f>
        <v>4.0392931428581455E-2</v>
      </c>
      <c r="AL13" s="80">
        <f t="shared" ref="AL13" si="7">AK13/(1+AL12)</f>
        <v>3.6888521852585808E-2</v>
      </c>
      <c r="AM13" s="80">
        <f t="shared" ref="AM13" si="8">AL13/(1+AM12)</f>
        <v>3.3688147810580646E-2</v>
      </c>
      <c r="AN13" s="80">
        <f t="shared" ref="AN13" si="9">AM13/(1+AN12)</f>
        <v>3.0765431790484608E-2</v>
      </c>
      <c r="AO13" s="80">
        <f t="shared" ref="AO13" si="10">AN13/(1+AO12)</f>
        <v>2.8096284740168592E-2</v>
      </c>
      <c r="AP13" s="80">
        <f t="shared" ref="AP13" si="11">AO13/(1+AP12)</f>
        <v>2.565870752526812E-2</v>
      </c>
      <c r="AQ13" s="80">
        <f t="shared" ref="AQ13" si="12">AP13/(1+AQ12)</f>
        <v>2.3432609612117006E-2</v>
      </c>
      <c r="AR13" s="80">
        <f t="shared" ref="AR13" si="13">AQ13/(1+AR12)</f>
        <v>2.1399643481385396E-2</v>
      </c>
      <c r="AS13" s="80">
        <f t="shared" ref="AS13" si="14">AR13/(1+AS12)</f>
        <v>1.9543053407657898E-2</v>
      </c>
      <c r="AT13" s="80">
        <f t="shared" ref="AT13" si="15">AS13/(1+AT12)</f>
        <v>1.7847537358591688E-2</v>
      </c>
      <c r="AU13" s="80">
        <f t="shared" ref="AU13" si="16">AT13/(1+AU12)</f>
        <v>1.6299120875426201E-2</v>
      </c>
      <c r="AV13" s="80">
        <f t="shared" ref="AV13" si="17">AU13/(1+AV12)</f>
        <v>1.4885041895366394E-2</v>
      </c>
      <c r="AW13" s="80">
        <f t="shared" ref="AW13" si="18">AV13/(1+AW12)</f>
        <v>1.3593645566544653E-2</v>
      </c>
      <c r="AX13" s="80">
        <f t="shared" ref="AX13" si="19">AW13/(1+AX12)</f>
        <v>1.2414288188625253E-2</v>
      </c>
      <c r="AY13" s="80">
        <f t="shared" ref="AY13" si="20">AX13/(1+AY12)</f>
        <v>1.1337249487328999E-2</v>
      </c>
      <c r="AZ13" s="81">
        <f t="shared" ref="AZ13" si="21">AY13/(1+AZ12)</f>
        <v>1.0353652499843834E-2</v>
      </c>
    </row>
    <row r="14" spans="1:52">
      <c r="A14" s="254" t="s">
        <v>31</v>
      </c>
      <c r="C14" s="82"/>
      <c r="D14" s="79">
        <f t="shared" ref="D14:AI14" si="22">(1+D8)^(D5-1)</f>
        <v>1</v>
      </c>
      <c r="E14" s="80">
        <f t="shared" si="22"/>
        <v>1.0129999999999999</v>
      </c>
      <c r="F14" s="80">
        <f t="shared" si="22"/>
        <v>1.0261689999999999</v>
      </c>
      <c r="G14" s="80">
        <f t="shared" si="22"/>
        <v>1.0395091969999999</v>
      </c>
      <c r="H14" s="80">
        <f t="shared" si="22"/>
        <v>1.0530228165609998</v>
      </c>
      <c r="I14" s="80">
        <f t="shared" si="22"/>
        <v>1.0667121131762927</v>
      </c>
      <c r="J14" s="80">
        <f t="shared" si="22"/>
        <v>1.0805793706475846</v>
      </c>
      <c r="K14" s="80">
        <f t="shared" si="22"/>
        <v>1.0946269024660031</v>
      </c>
      <c r="L14" s="80">
        <f t="shared" si="22"/>
        <v>1.1088570521980612</v>
      </c>
      <c r="M14" s="80">
        <f t="shared" si="22"/>
        <v>1.1232721938766359</v>
      </c>
      <c r="N14" s="80">
        <f t="shared" si="22"/>
        <v>1.1378747323970322</v>
      </c>
      <c r="O14" s="80">
        <f t="shared" si="22"/>
        <v>1.1526671039181935</v>
      </c>
      <c r="P14" s="80">
        <f t="shared" si="22"/>
        <v>1.1676517762691301</v>
      </c>
      <c r="Q14" s="80">
        <f t="shared" si="22"/>
        <v>1.1828312493606286</v>
      </c>
      <c r="R14" s="80">
        <f t="shared" si="22"/>
        <v>1.1982080556023169</v>
      </c>
      <c r="S14" s="80">
        <f t="shared" si="22"/>
        <v>1.2137847603251468</v>
      </c>
      <c r="T14" s="80">
        <f t="shared" si="22"/>
        <v>1.2295639622093737</v>
      </c>
      <c r="U14" s="80">
        <f t="shared" si="22"/>
        <v>1.2455482937180955</v>
      </c>
      <c r="V14" s="80">
        <f t="shared" si="22"/>
        <v>1.2617404215364307</v>
      </c>
      <c r="W14" s="80">
        <f t="shared" si="22"/>
        <v>1.2781430470164044</v>
      </c>
      <c r="X14" s="80">
        <f t="shared" si="22"/>
        <v>1.2947589066276175</v>
      </c>
      <c r="Y14" s="80">
        <f t="shared" si="22"/>
        <v>1.3115907724137763</v>
      </c>
      <c r="Z14" s="80">
        <f t="shared" si="22"/>
        <v>1.3286414524551555</v>
      </c>
      <c r="AA14" s="80">
        <f t="shared" si="22"/>
        <v>1.3459137913370725</v>
      </c>
      <c r="AB14" s="80">
        <f t="shared" si="22"/>
        <v>1.3634106706244544</v>
      </c>
      <c r="AC14" s="80">
        <f t="shared" si="22"/>
        <v>1.3811350093425723</v>
      </c>
      <c r="AD14" s="80">
        <f t="shared" si="22"/>
        <v>1.3990897644640257</v>
      </c>
      <c r="AE14" s="80">
        <f t="shared" si="22"/>
        <v>1.4172779314020578</v>
      </c>
      <c r="AF14" s="80">
        <f t="shared" si="22"/>
        <v>1.4357025445102847</v>
      </c>
      <c r="AG14" s="80">
        <f t="shared" si="22"/>
        <v>1.4543666775889181</v>
      </c>
      <c r="AH14" s="80">
        <f t="shared" si="22"/>
        <v>1.4732734443975743</v>
      </c>
      <c r="AI14" s="80">
        <f t="shared" si="22"/>
        <v>1.4924259991747426</v>
      </c>
      <c r="AJ14" s="80">
        <f t="shared" ref="AJ14:AZ14" si="23">(1+AJ8)^(AJ5-1)</f>
        <v>1.5118275371640142</v>
      </c>
      <c r="AK14" s="80">
        <f t="shared" si="23"/>
        <v>1.5314812951471461</v>
      </c>
      <c r="AL14" s="80">
        <f t="shared" si="23"/>
        <v>1.5513905519840592</v>
      </c>
      <c r="AM14" s="80">
        <f t="shared" si="23"/>
        <v>1.5715586291598518</v>
      </c>
      <c r="AN14" s="80">
        <f t="shared" si="23"/>
        <v>1.59198889133893</v>
      </c>
      <c r="AO14" s="80">
        <f t="shared" si="23"/>
        <v>1.6126847469263357</v>
      </c>
      <c r="AP14" s="80">
        <f t="shared" si="23"/>
        <v>1.6336496486363783</v>
      </c>
      <c r="AQ14" s="80">
        <f t="shared" si="23"/>
        <v>1.6548870940686511</v>
      </c>
      <c r="AR14" s="80">
        <f t="shared" si="23"/>
        <v>1.6764006262915436</v>
      </c>
      <c r="AS14" s="80">
        <f t="shared" si="23"/>
        <v>1.6981938344333336</v>
      </c>
      <c r="AT14" s="80">
        <f t="shared" si="23"/>
        <v>1.720270354280967</v>
      </c>
      <c r="AU14" s="80">
        <f t="shared" si="23"/>
        <v>1.7426338688866192</v>
      </c>
      <c r="AV14" s="80">
        <f t="shared" si="23"/>
        <v>1.7652881091821455</v>
      </c>
      <c r="AW14" s="80">
        <f t="shared" si="23"/>
        <v>1.788236854601513</v>
      </c>
      <c r="AX14" s="80">
        <f t="shared" si="23"/>
        <v>1.8114839337113329</v>
      </c>
      <c r="AY14" s="80">
        <f t="shared" si="23"/>
        <v>1.83503322484958</v>
      </c>
      <c r="AZ14" s="81">
        <f t="shared" si="23"/>
        <v>1.8588886567726244</v>
      </c>
    </row>
    <row r="15" spans="1:52">
      <c r="A15" s="256" t="s">
        <v>32</v>
      </c>
      <c r="C15" s="82"/>
      <c r="D15" s="84">
        <f t="shared" ref="D15:AI15" si="24">D6*D13*D14</f>
        <v>2.0410005657928311E-2</v>
      </c>
      <c r="E15" s="85">
        <f t="shared" si="24"/>
        <v>5.3164631190066078E-2</v>
      </c>
      <c r="F15" s="85">
        <f t="shared" si="24"/>
        <v>9.3217547489102909E-2</v>
      </c>
      <c r="G15" s="85">
        <f t="shared" si="24"/>
        <v>0.14593428566254502</v>
      </c>
      <c r="H15" s="85">
        <f t="shared" si="24"/>
        <v>0.18929925782699605</v>
      </c>
      <c r="I15" s="85">
        <f t="shared" si="24"/>
        <v>0.2257640191053257</v>
      </c>
      <c r="J15" s="85">
        <f t="shared" si="24"/>
        <v>0.24989778452335004</v>
      </c>
      <c r="K15" s="85">
        <f t="shared" si="24"/>
        <v>0.25965336456574273</v>
      </c>
      <c r="L15" s="85">
        <f t="shared" si="24"/>
        <v>0.26372423242160892</v>
      </c>
      <c r="M15" s="85">
        <f t="shared" si="24"/>
        <v>0.2609601441619801</v>
      </c>
      <c r="N15" s="85">
        <f t="shared" si="24"/>
        <v>0.25424551206488738</v>
      </c>
      <c r="O15" s="85">
        <f t="shared" si="24"/>
        <v>0.24343232210202861</v>
      </c>
      <c r="P15" s="85">
        <f t="shared" si="24"/>
        <v>0.22912839785898265</v>
      </c>
      <c r="Q15" s="85">
        <f t="shared" si="24"/>
        <v>0.21671608990256244</v>
      </c>
      <c r="R15" s="85">
        <f t="shared" si="24"/>
        <v>0.20367705900497235</v>
      </c>
      <c r="S15" s="85">
        <f t="shared" si="24"/>
        <v>0.19077300482206497</v>
      </c>
      <c r="T15" s="85">
        <f t="shared" si="24"/>
        <v>0.17936846451057101</v>
      </c>
      <c r="U15" s="85">
        <f t="shared" si="24"/>
        <v>0.16712577498061243</v>
      </c>
      <c r="V15" s="85">
        <f t="shared" si="24"/>
        <v>0.15684613311509513</v>
      </c>
      <c r="W15" s="85">
        <f t="shared" si="24"/>
        <v>0.14583132191947409</v>
      </c>
      <c r="X15" s="85">
        <f t="shared" si="24"/>
        <v>0.13617866856839803</v>
      </c>
      <c r="Y15" s="85">
        <f t="shared" si="24"/>
        <v>0.12672034301689633</v>
      </c>
      <c r="Z15" s="85">
        <f t="shared" si="24"/>
        <v>0.11723078308321096</v>
      </c>
      <c r="AA15" s="85">
        <f t="shared" si="24"/>
        <v>0.1084518568614545</v>
      </c>
      <c r="AB15" s="85">
        <f t="shared" si="24"/>
        <v>0.10033034794580223</v>
      </c>
      <c r="AC15" s="85">
        <f t="shared" si="24"/>
        <v>9.2817025085933924E-2</v>
      </c>
      <c r="AD15" s="85">
        <f t="shared" si="24"/>
        <v>8.5866343755297767E-2</v>
      </c>
      <c r="AE15" s="85">
        <f t="shared" si="24"/>
        <v>7.9436170067686412E-2</v>
      </c>
      <c r="AF15" s="85">
        <f t="shared" si="24"/>
        <v>7.3487525368553755E-2</v>
      </c>
      <c r="AG15" s="85">
        <f t="shared" si="24"/>
        <v>6.7984349952826428E-2</v>
      </c>
      <c r="AH15" s="85">
        <f t="shared" si="24"/>
        <v>6.2893284476907022E-2</v>
      </c>
      <c r="AI15" s="85">
        <f t="shared" si="24"/>
        <v>5.8183467739823566E-2</v>
      </c>
      <c r="AJ15" s="85">
        <f t="shared" ref="AJ15:AZ15" si="25">AJ6*AJ13*AJ14</f>
        <v>5.3826349607708927E-2</v>
      </c>
      <c r="AK15" s="85">
        <f t="shared" si="25"/>
        <v>4.9795517947588248E-2</v>
      </c>
      <c r="AL15" s="85">
        <f t="shared" si="25"/>
        <v>4.6066538521376169E-2</v>
      </c>
      <c r="AM15" s="85">
        <f t="shared" si="25"/>
        <v>4.261680686954708E-2</v>
      </c>
      <c r="AN15" s="85">
        <f t="shared" si="25"/>
        <v>3.9425411286622095E-2</v>
      </c>
      <c r="AO15" s="85">
        <f t="shared" si="25"/>
        <v>3.6473006057852211E-2</v>
      </c>
      <c r="AP15" s="85">
        <f t="shared" si="25"/>
        <v>3.374169418867972E-2</v>
      </c>
      <c r="AQ15" s="85">
        <f t="shared" si="25"/>
        <v>3.1214918916102796E-2</v>
      </c>
      <c r="AR15" s="85">
        <f t="shared" si="25"/>
        <v>2.8877363344303318E-2</v>
      </c>
      <c r="AS15" s="85">
        <f t="shared" si="25"/>
        <v>2.6714857596145447E-2</v>
      </c>
      <c r="AT15" s="85">
        <f t="shared" si="25"/>
        <v>2.4714292917712637E-2</v>
      </c>
      <c r="AU15" s="85">
        <f t="shared" si="25"/>
        <v>2.2863542215198995E-2</v>
      </c>
      <c r="AV15" s="85">
        <f t="shared" si="25"/>
        <v>2.1151386542462635E-2</v>
      </c>
      <c r="AW15" s="85">
        <f t="shared" si="25"/>
        <v>1.9567447093620682E-2</v>
      </c>
      <c r="AX15" s="85">
        <f t="shared" si="25"/>
        <v>1.8102122288436301E-2</v>
      </c>
      <c r="AY15" s="85">
        <f t="shared" si="25"/>
        <v>1.6746529569119612E-2</v>
      </c>
      <c r="AZ15" s="86">
        <f t="shared" si="25"/>
        <v>1.5492451555724351E-2</v>
      </c>
    </row>
    <row r="16" spans="1:52">
      <c r="A16" s="256" t="s">
        <v>33</v>
      </c>
      <c r="C16" s="87">
        <f ca="1">IFERROR(SUM(OFFSET(C15,,1,1,IF(($B$2-(C5))&gt;0,$B$2-(C5),0))),0)</f>
        <v>4.3380813523616597</v>
      </c>
      <c r="D16" s="88">
        <f t="shared" ref="D16:AZ16" ca="1" si="26">IFERROR(SUM(OFFSET(D15,,1,1,IF(($B$2-(D5))&gt;0,$B$2-(D5),0))),0)</f>
        <v>4.3176713467037313</v>
      </c>
      <c r="E16" s="88">
        <f t="shared" ca="1" si="26"/>
        <v>4.2645067155136651</v>
      </c>
      <c r="F16" s="88">
        <f t="shared" ca="1" si="26"/>
        <v>4.1712891680245621</v>
      </c>
      <c r="G16" s="88">
        <f t="shared" ca="1" si="26"/>
        <v>4.0253548823620173</v>
      </c>
      <c r="H16" s="88">
        <f t="shared" ca="1" si="26"/>
        <v>3.836055624535021</v>
      </c>
      <c r="I16" s="88">
        <f t="shared" ca="1" si="26"/>
        <v>3.610291605429695</v>
      </c>
      <c r="J16" s="88">
        <f t="shared" ca="1" si="26"/>
        <v>3.3603938209063453</v>
      </c>
      <c r="K16" s="88">
        <f t="shared" ca="1" si="26"/>
        <v>3.1007404563406022</v>
      </c>
      <c r="L16" s="88">
        <f t="shared" ca="1" si="26"/>
        <v>2.8370162239189933</v>
      </c>
      <c r="M16" s="88">
        <f t="shared" ca="1" si="26"/>
        <v>2.5760560797570133</v>
      </c>
      <c r="N16" s="88">
        <f t="shared" ca="1" si="26"/>
        <v>2.3218105676921259</v>
      </c>
      <c r="O16" s="88">
        <f t="shared" ca="1" si="26"/>
        <v>2.078378245590097</v>
      </c>
      <c r="P16" s="88">
        <f t="shared" ca="1" si="26"/>
        <v>1.8492498477311143</v>
      </c>
      <c r="Q16" s="88">
        <f t="shared" ca="1" si="26"/>
        <v>1.6325337578285519</v>
      </c>
      <c r="R16" s="88">
        <f t="shared" ca="1" si="26"/>
        <v>1.4288566988235796</v>
      </c>
      <c r="S16" s="88">
        <f t="shared" ca="1" si="26"/>
        <v>1.2380836940015145</v>
      </c>
      <c r="T16" s="88">
        <f t="shared" ca="1" si="26"/>
        <v>1.0587152294909439</v>
      </c>
      <c r="U16" s="88">
        <f t="shared" ca="1" si="26"/>
        <v>0.89158945451033123</v>
      </c>
      <c r="V16" s="88">
        <f t="shared" ca="1" si="26"/>
        <v>0.73474332139523613</v>
      </c>
      <c r="W16" s="88">
        <f t="shared" ca="1" si="26"/>
        <v>0.588911999475762</v>
      </c>
      <c r="X16" s="88">
        <f t="shared" ca="1" si="26"/>
        <v>0.45273333090736401</v>
      </c>
      <c r="Y16" s="88">
        <f t="shared" ca="1" si="26"/>
        <v>0.32601298789046773</v>
      </c>
      <c r="Z16" s="88">
        <f t="shared" ca="1" si="26"/>
        <v>0.20878220480725673</v>
      </c>
      <c r="AA16" s="88">
        <f t="shared" ca="1" si="26"/>
        <v>0.10033034794580223</v>
      </c>
      <c r="AB16" s="88">
        <f t="shared" ca="1" si="26"/>
        <v>0</v>
      </c>
      <c r="AC16" s="88">
        <f t="shared" ca="1" si="26"/>
        <v>0</v>
      </c>
      <c r="AD16" s="88">
        <f t="shared" ca="1" si="26"/>
        <v>0</v>
      </c>
      <c r="AE16" s="88">
        <f t="shared" ca="1" si="26"/>
        <v>0</v>
      </c>
      <c r="AF16" s="88">
        <f t="shared" ca="1" si="26"/>
        <v>0</v>
      </c>
      <c r="AG16" s="88">
        <f t="shared" ca="1" si="26"/>
        <v>0</v>
      </c>
      <c r="AH16" s="88">
        <f t="shared" ca="1" si="26"/>
        <v>0</v>
      </c>
      <c r="AI16" s="88">
        <f t="shared" ca="1" si="26"/>
        <v>0</v>
      </c>
      <c r="AJ16" s="88">
        <f t="shared" ca="1" si="26"/>
        <v>0</v>
      </c>
      <c r="AK16" s="88">
        <f t="shared" ca="1" si="26"/>
        <v>0</v>
      </c>
      <c r="AL16" s="88">
        <f t="shared" ca="1" si="26"/>
        <v>0</v>
      </c>
      <c r="AM16" s="88">
        <f t="shared" ca="1" si="26"/>
        <v>0</v>
      </c>
      <c r="AN16" s="88">
        <f t="shared" ca="1" si="26"/>
        <v>0</v>
      </c>
      <c r="AO16" s="88">
        <f t="shared" ca="1" si="26"/>
        <v>0</v>
      </c>
      <c r="AP16" s="88">
        <f t="shared" ca="1" si="26"/>
        <v>0</v>
      </c>
      <c r="AQ16" s="88">
        <f t="shared" ca="1" si="26"/>
        <v>0</v>
      </c>
      <c r="AR16" s="88">
        <f t="shared" ca="1" si="26"/>
        <v>0</v>
      </c>
      <c r="AS16" s="88">
        <f t="shared" ca="1" si="26"/>
        <v>0</v>
      </c>
      <c r="AT16" s="88">
        <f t="shared" ca="1" si="26"/>
        <v>0</v>
      </c>
      <c r="AU16" s="88">
        <f t="shared" ca="1" si="26"/>
        <v>0</v>
      </c>
      <c r="AV16" s="88">
        <f t="shared" ca="1" si="26"/>
        <v>0</v>
      </c>
      <c r="AW16" s="88">
        <f t="shared" ca="1" si="26"/>
        <v>0</v>
      </c>
      <c r="AX16" s="88">
        <f t="shared" ca="1" si="26"/>
        <v>0</v>
      </c>
      <c r="AY16" s="88">
        <f t="shared" ca="1" si="26"/>
        <v>0</v>
      </c>
      <c r="AZ16" s="89">
        <f t="shared" ca="1" si="26"/>
        <v>0</v>
      </c>
    </row>
    <row r="17" spans="1:52">
      <c r="A17" s="256" t="s">
        <v>34</v>
      </c>
      <c r="C17" s="87">
        <v>1</v>
      </c>
      <c r="D17" s="88">
        <f>(1+D12)*C17</f>
        <v>1.141</v>
      </c>
      <c r="E17" s="88">
        <f t="shared" ref="E17:AG17" si="27">(1+E12)*D17</f>
        <v>1.3018810000000001</v>
      </c>
      <c r="F17" s="88">
        <f t="shared" si="27"/>
        <v>1.4854462210000001</v>
      </c>
      <c r="G17" s="88">
        <f t="shared" si="27"/>
        <v>1.626563611995</v>
      </c>
      <c r="H17" s="88">
        <f t="shared" si="27"/>
        <v>1.7810871551345249</v>
      </c>
      <c r="I17" s="88">
        <f t="shared" si="27"/>
        <v>1.9502904348723047</v>
      </c>
      <c r="J17" s="88">
        <f t="shared" si="27"/>
        <v>2.1355680261851737</v>
      </c>
      <c r="K17" s="88">
        <f t="shared" si="27"/>
        <v>2.3384469886727652</v>
      </c>
      <c r="L17" s="88">
        <f t="shared" si="27"/>
        <v>2.5605994525966778</v>
      </c>
      <c r="M17" s="88">
        <f t="shared" si="27"/>
        <v>2.8038564005933622</v>
      </c>
      <c r="N17" s="88">
        <f t="shared" si="27"/>
        <v>3.0702227586497317</v>
      </c>
      <c r="O17" s="88">
        <f t="shared" si="27"/>
        <v>3.3618939207214562</v>
      </c>
      <c r="P17" s="88">
        <f t="shared" si="27"/>
        <v>3.6812738431899943</v>
      </c>
      <c r="Q17" s="88">
        <f t="shared" si="27"/>
        <v>4.0309948582930435</v>
      </c>
      <c r="R17" s="88">
        <f t="shared" si="27"/>
        <v>4.4139393698308824</v>
      </c>
      <c r="S17" s="88">
        <f t="shared" si="27"/>
        <v>4.8332636099648161</v>
      </c>
      <c r="T17" s="88">
        <f t="shared" si="27"/>
        <v>5.2924236529114737</v>
      </c>
      <c r="U17" s="88">
        <f t="shared" si="27"/>
        <v>5.7952038999380635</v>
      </c>
      <c r="V17" s="88">
        <f t="shared" si="27"/>
        <v>6.3457482704321793</v>
      </c>
      <c r="W17" s="88">
        <f t="shared" si="27"/>
        <v>6.9485943561232357</v>
      </c>
      <c r="X17" s="88">
        <f t="shared" si="27"/>
        <v>7.6087108199549434</v>
      </c>
      <c r="Y17" s="88">
        <f t="shared" si="27"/>
        <v>8.3315383478506622</v>
      </c>
      <c r="Z17" s="88">
        <f t="shared" si="27"/>
        <v>9.1230344908964742</v>
      </c>
      <c r="AA17" s="88">
        <f t="shared" si="27"/>
        <v>9.9897227675316387</v>
      </c>
      <c r="AB17" s="88">
        <f t="shared" si="27"/>
        <v>10.938746430447145</v>
      </c>
      <c r="AC17" s="88">
        <f t="shared" si="27"/>
        <v>11.977927341339623</v>
      </c>
      <c r="AD17" s="88">
        <f t="shared" si="27"/>
        <v>13.115830438766887</v>
      </c>
      <c r="AE17" s="88">
        <f t="shared" si="27"/>
        <v>14.36183433044974</v>
      </c>
      <c r="AF17" s="88">
        <f t="shared" si="27"/>
        <v>15.726208591842465</v>
      </c>
      <c r="AG17" s="88">
        <f t="shared" si="27"/>
        <v>17.2201984080675</v>
      </c>
      <c r="AH17" s="88">
        <f t="shared" ref="AH17" si="28">(1+AH12)*AG17</f>
        <v>18.856117256833912</v>
      </c>
      <c r="AI17" s="88">
        <f t="shared" ref="AI17" si="29">(1+AI12)*AH17</f>
        <v>20.647448396233134</v>
      </c>
      <c r="AJ17" s="88">
        <f t="shared" ref="AJ17" si="30">(1+AJ12)*AI17</f>
        <v>22.608955993875281</v>
      </c>
      <c r="AK17" s="88">
        <f t="shared" ref="AK17" si="31">(1+AK12)*AJ17</f>
        <v>24.75680681329343</v>
      </c>
      <c r="AL17" s="88">
        <f t="shared" ref="AL17" si="32">(1+AL12)*AK17</f>
        <v>27.108703460556306</v>
      </c>
      <c r="AM17" s="88">
        <f t="shared" ref="AM17" si="33">(1+AM12)*AL17</f>
        <v>29.684030289309156</v>
      </c>
      <c r="AN17" s="88">
        <f t="shared" ref="AN17" si="34">(1+AN12)*AM17</f>
        <v>32.504013166793527</v>
      </c>
      <c r="AO17" s="88">
        <f t="shared" ref="AO17" si="35">(1+AO12)*AN17</f>
        <v>35.591894417638912</v>
      </c>
      <c r="AP17" s="88">
        <f t="shared" ref="AP17" si="36">(1+AP12)*AO17</f>
        <v>38.973124387314606</v>
      </c>
      <c r="AQ17" s="88">
        <f t="shared" ref="AQ17" si="37">(1+AQ12)*AP17</f>
        <v>42.675571204109495</v>
      </c>
      <c r="AR17" s="88">
        <f t="shared" ref="AR17" si="38">(1+AR12)*AQ17</f>
        <v>46.729750468499894</v>
      </c>
      <c r="AS17" s="88">
        <f t="shared" ref="AS17" si="39">(1+AS12)*AR17</f>
        <v>51.169076763007382</v>
      </c>
      <c r="AT17" s="88">
        <f t="shared" ref="AT17" si="40">(1+AT12)*AS17</f>
        <v>56.03013905549308</v>
      </c>
      <c r="AU17" s="88">
        <f t="shared" ref="AU17" si="41">(1+AU12)*AT17</f>
        <v>61.353002265764921</v>
      </c>
      <c r="AV17" s="88">
        <f t="shared" ref="AV17" si="42">(1+AV12)*AU17</f>
        <v>67.181537481012583</v>
      </c>
      <c r="AW17" s="88">
        <f t="shared" ref="AW17" si="43">(1+AW12)*AV17</f>
        <v>73.563783541708773</v>
      </c>
      <c r="AX17" s="88">
        <f t="shared" ref="AX17" si="44">(1+AX12)*AW17</f>
        <v>80.552342978171097</v>
      </c>
      <c r="AY17" s="88">
        <f t="shared" ref="AY17" si="45">(1+AY12)*AX17</f>
        <v>88.204815561097348</v>
      </c>
      <c r="AZ17" s="89">
        <f t="shared" ref="AZ17" si="46">(1+AZ12)*AY17</f>
        <v>96.584273039401594</v>
      </c>
    </row>
    <row r="18" spans="1:52">
      <c r="A18" s="256" t="s">
        <v>35</v>
      </c>
      <c r="C18" s="87">
        <f ca="1">C16*C17</f>
        <v>4.3380813523616597</v>
      </c>
      <c r="D18" s="88">
        <f ca="1">D16*D17</f>
        <v>4.9264630065889579</v>
      </c>
      <c r="E18" s="88">
        <f ca="1">E16*E17</f>
        <v>5.5518802672996461</v>
      </c>
      <c r="F18" s="88">
        <f t="shared" ref="F18:AF18" ca="1" si="47">F16*F17</f>
        <v>6.19622573134032</v>
      </c>
      <c r="G18" s="88">
        <f t="shared" ca="1" si="47"/>
        <v>6.5474957770164712</v>
      </c>
      <c r="H18" s="88">
        <f t="shared" ca="1" si="47"/>
        <v>6.8323493992408739</v>
      </c>
      <c r="I18" s="88">
        <f t="shared" ca="1" si="47"/>
        <v>7.0411171851693108</v>
      </c>
      <c r="J18" s="88">
        <f t="shared" ca="1" si="47"/>
        <v>7.1763495993178177</v>
      </c>
      <c r="K18" s="88">
        <f t="shared" ca="1" si="47"/>
        <v>7.2509171827854972</v>
      </c>
      <c r="L18" s="88">
        <f t="shared" ca="1" si="47"/>
        <v>7.2644621899748678</v>
      </c>
      <c r="M18" s="88">
        <f t="shared" ca="1" si="47"/>
        <v>7.2228913275141462</v>
      </c>
      <c r="N18" s="88">
        <f t="shared" ca="1" si="47"/>
        <v>7.1284756462018182</v>
      </c>
      <c r="O18" s="88">
        <f t="shared" ca="1" si="47"/>
        <v>6.9872871888090726</v>
      </c>
      <c r="P18" s="88">
        <f t="shared" ca="1" si="47"/>
        <v>6.8075950939756309</v>
      </c>
      <c r="Q18" s="88">
        <f t="shared" ca="1" si="47"/>
        <v>6.5807351837967136</v>
      </c>
      <c r="R18" s="88">
        <f t="shared" ca="1" si="47"/>
        <v>6.3068868367839857</v>
      </c>
      <c r="S18" s="88">
        <f t="shared" ca="1" si="47"/>
        <v>5.9839848643083347</v>
      </c>
      <c r="T18" s="88">
        <f t="shared" ca="1" si="47"/>
        <v>5.6031695222554703</v>
      </c>
      <c r="U18" s="88">
        <f t="shared" ca="1" si="47"/>
        <v>5.1669426839219224</v>
      </c>
      <c r="V18" s="88">
        <f t="shared" ca="1" si="47"/>
        <v>4.6624961609554143</v>
      </c>
      <c r="W18" s="88">
        <f t="shared" ca="1" si="47"/>
        <v>4.0921105958105297</v>
      </c>
      <c r="X18" s="88">
        <f t="shared" ca="1" si="47"/>
        <v>3.4447169934291022</v>
      </c>
      <c r="Y18" s="88">
        <f t="shared" ca="1" si="47"/>
        <v>2.7161897105068054</v>
      </c>
      <c r="Z18" s="88">
        <f t="shared" ca="1" si="47"/>
        <v>1.9047272555420149</v>
      </c>
      <c r="AA18" s="88">
        <f t="shared" ca="1" si="47"/>
        <v>1.0022723611485518</v>
      </c>
      <c r="AB18" s="88">
        <f t="shared" ca="1" si="47"/>
        <v>0</v>
      </c>
      <c r="AC18" s="88">
        <f t="shared" ca="1" si="47"/>
        <v>0</v>
      </c>
      <c r="AD18" s="88">
        <f t="shared" ca="1" si="47"/>
        <v>0</v>
      </c>
      <c r="AE18" s="88">
        <f t="shared" ca="1" si="47"/>
        <v>0</v>
      </c>
      <c r="AF18" s="88">
        <f t="shared" ca="1" si="47"/>
        <v>0</v>
      </c>
      <c r="AG18" s="88">
        <f ca="1">AG16*AG17</f>
        <v>0</v>
      </c>
      <c r="AH18" s="88">
        <f t="shared" ref="AH18:AZ18" ca="1" si="48">AH16*AH17</f>
        <v>0</v>
      </c>
      <c r="AI18" s="88">
        <f t="shared" ca="1" si="48"/>
        <v>0</v>
      </c>
      <c r="AJ18" s="88">
        <f t="shared" ca="1" si="48"/>
        <v>0</v>
      </c>
      <c r="AK18" s="88">
        <f t="shared" ca="1" si="48"/>
        <v>0</v>
      </c>
      <c r="AL18" s="88">
        <f t="shared" ca="1" si="48"/>
        <v>0</v>
      </c>
      <c r="AM18" s="88">
        <f t="shared" ca="1" si="48"/>
        <v>0</v>
      </c>
      <c r="AN18" s="88">
        <f t="shared" ca="1" si="48"/>
        <v>0</v>
      </c>
      <c r="AO18" s="88">
        <f t="shared" ca="1" si="48"/>
        <v>0</v>
      </c>
      <c r="AP18" s="88">
        <f t="shared" ca="1" si="48"/>
        <v>0</v>
      </c>
      <c r="AQ18" s="88">
        <f t="shared" ca="1" si="48"/>
        <v>0</v>
      </c>
      <c r="AR18" s="88">
        <f t="shared" ca="1" si="48"/>
        <v>0</v>
      </c>
      <c r="AS18" s="88">
        <f t="shared" ca="1" si="48"/>
        <v>0</v>
      </c>
      <c r="AT18" s="88">
        <f t="shared" ca="1" si="48"/>
        <v>0</v>
      </c>
      <c r="AU18" s="88">
        <f t="shared" ca="1" si="48"/>
        <v>0</v>
      </c>
      <c r="AV18" s="88">
        <f t="shared" ca="1" si="48"/>
        <v>0</v>
      </c>
      <c r="AW18" s="88">
        <f t="shared" ca="1" si="48"/>
        <v>0</v>
      </c>
      <c r="AX18" s="88">
        <f t="shared" ca="1" si="48"/>
        <v>0</v>
      </c>
      <c r="AY18" s="88">
        <f t="shared" ca="1" si="48"/>
        <v>0</v>
      </c>
      <c r="AZ18" s="89">
        <f t="shared" ca="1" si="48"/>
        <v>0</v>
      </c>
    </row>
    <row r="19" spans="1:52">
      <c r="A19" s="256" t="s">
        <v>115</v>
      </c>
      <c r="C19" s="93">
        <f t="shared" ref="C19:AG19" ca="1" si="49">C18/$C18</f>
        <v>1</v>
      </c>
      <c r="D19" s="94">
        <f t="shared" ca="1" si="49"/>
        <v>1.1356317704616079</v>
      </c>
      <c r="E19" s="94">
        <f t="shared" ca="1" si="49"/>
        <v>1.2798008650246249</v>
      </c>
      <c r="F19" s="90">
        <f t="shared" ca="1" si="49"/>
        <v>1.4283332256936774</v>
      </c>
      <c r="G19" s="90">
        <f t="shared" ca="1" si="49"/>
        <v>1.5093068214250989</v>
      </c>
      <c r="H19" s="90">
        <f t="shared" ca="1" si="49"/>
        <v>1.5749703254230882</v>
      </c>
      <c r="I19" s="90">
        <f t="shared" ca="1" si="49"/>
        <v>1.6230947769884752</v>
      </c>
      <c r="J19" s="90">
        <f t="shared" ca="1" si="49"/>
        <v>1.6542681006687436</v>
      </c>
      <c r="K19" s="90">
        <f t="shared" ca="1" si="49"/>
        <v>1.6714571705387877</v>
      </c>
      <c r="L19" s="90">
        <f t="shared" ca="1" si="49"/>
        <v>1.674579520280338</v>
      </c>
      <c r="M19" s="90">
        <f t="shared" ca="1" si="49"/>
        <v>1.6649967441440421</v>
      </c>
      <c r="N19" s="90">
        <f t="shared" ca="1" si="49"/>
        <v>1.6432323571620118</v>
      </c>
      <c r="O19" s="90">
        <f t="shared" ca="1" si="49"/>
        <v>1.6106860663194296</v>
      </c>
      <c r="P19" s="90">
        <f t="shared" ca="1" si="49"/>
        <v>1.5692640457905573</v>
      </c>
      <c r="Q19" s="90">
        <f t="shared" ca="1" si="49"/>
        <v>1.5169690582713828</v>
      </c>
      <c r="R19" s="90">
        <f t="shared" ca="1" si="49"/>
        <v>1.4538424534962915</v>
      </c>
      <c r="S19" s="90">
        <f t="shared" ca="1" si="49"/>
        <v>1.3794081710917296</v>
      </c>
      <c r="T19" s="90">
        <f t="shared" ca="1" si="49"/>
        <v>1.2916238924853483</v>
      </c>
      <c r="U19" s="90">
        <f t="shared" ca="1" si="49"/>
        <v>1.1910663411392755</v>
      </c>
      <c r="V19" s="90">
        <f t="shared" ca="1" si="49"/>
        <v>1.0747830163252108</v>
      </c>
      <c r="W19" s="90">
        <f t="shared" ca="1" si="49"/>
        <v>0.94329964411174005</v>
      </c>
      <c r="X19" s="90">
        <f t="shared" ca="1" si="49"/>
        <v>0.79406463679013117</v>
      </c>
      <c r="Y19" s="90">
        <f t="shared" ca="1" si="49"/>
        <v>0.62612696486849118</v>
      </c>
      <c r="Z19" s="90">
        <f t="shared" ca="1" si="49"/>
        <v>0.43907135455287805</v>
      </c>
      <c r="AA19" s="90">
        <f t="shared" ca="1" si="49"/>
        <v>0.23104047152156629</v>
      </c>
      <c r="AB19" s="90">
        <f t="shared" ca="1" si="49"/>
        <v>0</v>
      </c>
      <c r="AC19" s="90">
        <f t="shared" ca="1" si="49"/>
        <v>0</v>
      </c>
      <c r="AD19" s="90">
        <f t="shared" ca="1" si="49"/>
        <v>0</v>
      </c>
      <c r="AE19" s="90">
        <f t="shared" ca="1" si="49"/>
        <v>0</v>
      </c>
      <c r="AF19" s="90">
        <f t="shared" ca="1" si="49"/>
        <v>0</v>
      </c>
      <c r="AG19" s="90">
        <f t="shared" ca="1" si="49"/>
        <v>0</v>
      </c>
      <c r="AH19" s="90">
        <f t="shared" ref="AH19" ca="1" si="50">AH18/$C18</f>
        <v>0</v>
      </c>
      <c r="AI19" s="90">
        <f t="shared" ref="AI19" ca="1" si="51">AI18/$C18</f>
        <v>0</v>
      </c>
      <c r="AJ19" s="90">
        <f t="shared" ref="AJ19" ca="1" si="52">AJ18/$C18</f>
        <v>0</v>
      </c>
      <c r="AK19" s="90">
        <f t="shared" ref="AK19" ca="1" si="53">AK18/$C18</f>
        <v>0</v>
      </c>
      <c r="AL19" s="90">
        <f t="shared" ref="AL19" ca="1" si="54">AL18/$C18</f>
        <v>0</v>
      </c>
      <c r="AM19" s="90">
        <f t="shared" ref="AM19" ca="1" si="55">AM18/$C18</f>
        <v>0</v>
      </c>
      <c r="AN19" s="90">
        <f t="shared" ref="AN19" ca="1" si="56">AN18/$C18</f>
        <v>0</v>
      </c>
      <c r="AO19" s="90">
        <f t="shared" ref="AO19" ca="1" si="57">AO18/$C18</f>
        <v>0</v>
      </c>
      <c r="AP19" s="90">
        <f t="shared" ref="AP19" ca="1" si="58">AP18/$C18</f>
        <v>0</v>
      </c>
      <c r="AQ19" s="90">
        <f t="shared" ref="AQ19" ca="1" si="59">AQ18/$C18</f>
        <v>0</v>
      </c>
      <c r="AR19" s="90">
        <f t="shared" ref="AR19" ca="1" si="60">AR18/$C18</f>
        <v>0</v>
      </c>
      <c r="AS19" s="90">
        <f t="shared" ref="AS19" ca="1" si="61">AS18/$C18</f>
        <v>0</v>
      </c>
      <c r="AT19" s="90">
        <f t="shared" ref="AT19" ca="1" si="62">AT18/$C18</f>
        <v>0</v>
      </c>
      <c r="AU19" s="90">
        <f t="shared" ref="AU19" ca="1" si="63">AU18/$C18</f>
        <v>0</v>
      </c>
      <c r="AV19" s="90">
        <f t="shared" ref="AV19" ca="1" si="64">AV18/$C18</f>
        <v>0</v>
      </c>
      <c r="AW19" s="90">
        <f t="shared" ref="AW19" ca="1" si="65">AW18/$C18</f>
        <v>0</v>
      </c>
      <c r="AX19" s="90">
        <f t="shared" ref="AX19" ca="1" si="66">AX18/$C18</f>
        <v>0</v>
      </c>
      <c r="AY19" s="90">
        <f t="shared" ref="AY19" ca="1" si="67">AY18/$C18</f>
        <v>0</v>
      </c>
      <c r="AZ19" s="91">
        <f t="shared" ref="AZ19" ca="1" si="68">AZ18/$C18</f>
        <v>0</v>
      </c>
    </row>
    <row r="20" spans="1:52">
      <c r="A20" s="83" t="s">
        <v>36</v>
      </c>
      <c r="C20" s="173">
        <f ca="1">MAX(C19/(1+$D$8)^(C5),$B$3)</f>
        <v>1</v>
      </c>
      <c r="D20" s="174">
        <f t="shared" ref="D20:AZ20" ca="1" si="69">MAX(D19/(1+$D$8)^(D5),$B$3)</f>
        <v>1.1210580162503534</v>
      </c>
      <c r="E20" s="174">
        <f t="shared" ca="1" si="69"/>
        <v>1.2471638346360345</v>
      </c>
      <c r="F20" s="174">
        <f t="shared" ca="1" si="69"/>
        <v>1.3740457802738204</v>
      </c>
      <c r="G20" s="174">
        <f t="shared" ca="1" si="69"/>
        <v>1.4333087542720564</v>
      </c>
      <c r="H20" s="174">
        <f t="shared" ca="1" si="69"/>
        <v>1.4764717733760253</v>
      </c>
      <c r="I20" s="174">
        <f t="shared" ca="1" si="69"/>
        <v>1.5020597478330207</v>
      </c>
      <c r="J20" s="174">
        <f t="shared" ca="1" si="69"/>
        <v>1.5112620537116042</v>
      </c>
      <c r="K20" s="174">
        <f t="shared" ca="1" si="69"/>
        <v>1.5073693829384929</v>
      </c>
      <c r="L20" s="174">
        <f t="shared" ca="1" si="69"/>
        <v>1.490804748313969</v>
      </c>
      <c r="M20" s="174">
        <f t="shared" ca="1" si="69"/>
        <v>1.4632513551263955</v>
      </c>
      <c r="N20" s="174">
        <f t="shared" ca="1" si="69"/>
        <v>1.4255914405609986</v>
      </c>
      <c r="O20" s="174">
        <f t="shared" ca="1" si="69"/>
        <v>1.3794232998693141</v>
      </c>
      <c r="P20" s="174">
        <f t="shared" ca="1" si="69"/>
        <v>1.3267015448220636</v>
      </c>
      <c r="Q20" s="174">
        <f t="shared" ca="1" si="69"/>
        <v>1.2660314301666338</v>
      </c>
      <c r="R20" s="174">
        <f t="shared" ca="1" si="69"/>
        <v>1.1977761634664439</v>
      </c>
      <c r="S20" s="174">
        <f t="shared" ca="1" si="69"/>
        <v>1.1218677624652438</v>
      </c>
      <c r="T20" s="174">
        <f t="shared" ca="1" si="69"/>
        <v>1.0369922218188041</v>
      </c>
      <c r="U20" s="174">
        <f t="shared" ca="1" si="69"/>
        <v>0.94398683026173091</v>
      </c>
      <c r="V20" s="174">
        <f t="shared" ca="1" si="69"/>
        <v>0.84089415408869839</v>
      </c>
      <c r="W20" s="174">
        <f t="shared" ca="1" si="69"/>
        <v>0.72855235000367535</v>
      </c>
      <c r="X20" s="174">
        <f t="shared" ca="1" si="69"/>
        <v>0.60542103031784844</v>
      </c>
      <c r="Y20" s="174">
        <f t="shared" ca="1" si="69"/>
        <v>0.47125352269529941</v>
      </c>
      <c r="Z20" s="174">
        <f t="shared" ca="1" si="69"/>
        <v>0.4</v>
      </c>
      <c r="AA20" s="174">
        <f t="shared" ca="1" si="69"/>
        <v>0.4</v>
      </c>
      <c r="AB20" s="174">
        <f t="shared" ca="1" si="69"/>
        <v>0.4</v>
      </c>
      <c r="AC20" s="174">
        <f t="shared" ca="1" si="69"/>
        <v>0.4</v>
      </c>
      <c r="AD20" s="174">
        <f t="shared" ca="1" si="69"/>
        <v>0.4</v>
      </c>
      <c r="AE20" s="174">
        <f t="shared" ca="1" si="69"/>
        <v>0.4</v>
      </c>
      <c r="AF20" s="174">
        <f t="shared" ca="1" si="69"/>
        <v>0.4</v>
      </c>
      <c r="AG20" s="174">
        <f t="shared" ca="1" si="69"/>
        <v>0.4</v>
      </c>
      <c r="AH20" s="174">
        <f t="shared" ca="1" si="69"/>
        <v>0.4</v>
      </c>
      <c r="AI20" s="174">
        <f t="shared" ca="1" si="69"/>
        <v>0.4</v>
      </c>
      <c r="AJ20" s="174">
        <f t="shared" ca="1" si="69"/>
        <v>0.4</v>
      </c>
      <c r="AK20" s="174">
        <f t="shared" ca="1" si="69"/>
        <v>0.4</v>
      </c>
      <c r="AL20" s="174">
        <f t="shared" ca="1" si="69"/>
        <v>0.4</v>
      </c>
      <c r="AM20" s="174">
        <f t="shared" ca="1" si="69"/>
        <v>0.4</v>
      </c>
      <c r="AN20" s="174">
        <f t="shared" ca="1" si="69"/>
        <v>0.4</v>
      </c>
      <c r="AO20" s="174">
        <f t="shared" ca="1" si="69"/>
        <v>0.4</v>
      </c>
      <c r="AP20" s="174">
        <f t="shared" ca="1" si="69"/>
        <v>0.4</v>
      </c>
      <c r="AQ20" s="174">
        <f t="shared" ca="1" si="69"/>
        <v>0.4</v>
      </c>
      <c r="AR20" s="174">
        <f t="shared" ca="1" si="69"/>
        <v>0.4</v>
      </c>
      <c r="AS20" s="174">
        <f t="shared" ca="1" si="69"/>
        <v>0.4</v>
      </c>
      <c r="AT20" s="174">
        <f t="shared" ca="1" si="69"/>
        <v>0.4</v>
      </c>
      <c r="AU20" s="174">
        <f t="shared" ca="1" si="69"/>
        <v>0.4</v>
      </c>
      <c r="AV20" s="174">
        <f t="shared" ca="1" si="69"/>
        <v>0.4</v>
      </c>
      <c r="AW20" s="174">
        <f t="shared" ca="1" si="69"/>
        <v>0.4</v>
      </c>
      <c r="AX20" s="174">
        <f t="shared" ca="1" si="69"/>
        <v>0.4</v>
      </c>
      <c r="AY20" s="174">
        <f t="shared" ca="1" si="69"/>
        <v>0.4</v>
      </c>
      <c r="AZ20" s="175">
        <f t="shared" ca="1" si="69"/>
        <v>0.4</v>
      </c>
    </row>
    <row r="22" spans="1:52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</sheetData>
  <dataConsolidate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A1:AZ87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/>
    </sheetView>
  </sheetViews>
  <sheetFormatPr baseColWidth="10" defaultColWidth="14.5703125" defaultRowHeight="12.75" outlineLevelRow="1"/>
  <cols>
    <col min="1" max="1" width="48.42578125" style="67" bestFit="1" customWidth="1"/>
    <col min="2" max="2" width="22.140625" style="201" bestFit="1" customWidth="1"/>
    <col min="3" max="52" width="15.42578125" style="259" customWidth="1"/>
    <col min="53" max="16384" width="14.5703125" style="67"/>
  </cols>
  <sheetData>
    <row r="1" spans="1:52">
      <c r="B1" s="258" t="s">
        <v>92</v>
      </c>
    </row>
    <row r="2" spans="1:52">
      <c r="A2" s="83" t="s">
        <v>150</v>
      </c>
      <c r="B2" s="293" t="str">
        <f>'Tableau de bord'!B53</f>
        <v>Modelisé</v>
      </c>
      <c r="C2" s="469">
        <f>'Tableau de bord'!C53</f>
        <v>140</v>
      </c>
      <c r="D2" s="67"/>
      <c r="E2" s="425"/>
    </row>
    <row r="3" spans="1:52">
      <c r="A3" s="83"/>
      <c r="B3" s="470" t="str">
        <f>'Tableau de bord'!B57</f>
        <v>Modélisé</v>
      </c>
      <c r="C3" s="469">
        <f>'Tableau de bord'!C57</f>
        <v>360</v>
      </c>
      <c r="D3" s="471"/>
      <c r="E3" s="425"/>
    </row>
    <row r="4" spans="1:52" s="317" customFormat="1">
      <c r="A4" s="313" t="s">
        <v>7</v>
      </c>
      <c r="B4" s="328"/>
      <c r="C4" s="315">
        <v>1</v>
      </c>
      <c r="D4" s="315">
        <v>2</v>
      </c>
      <c r="E4" s="315">
        <v>3</v>
      </c>
      <c r="F4" s="315">
        <v>4</v>
      </c>
      <c r="G4" s="315">
        <v>5</v>
      </c>
      <c r="H4" s="315">
        <v>6</v>
      </c>
      <c r="I4" s="315">
        <v>7</v>
      </c>
      <c r="J4" s="315">
        <v>8</v>
      </c>
      <c r="K4" s="315">
        <v>9</v>
      </c>
      <c r="L4" s="315">
        <v>10</v>
      </c>
      <c r="M4" s="315">
        <v>11</v>
      </c>
      <c r="N4" s="315">
        <v>12</v>
      </c>
      <c r="O4" s="315">
        <v>13</v>
      </c>
      <c r="P4" s="315">
        <v>14</v>
      </c>
      <c r="Q4" s="315">
        <v>15</v>
      </c>
      <c r="R4" s="315">
        <v>16</v>
      </c>
      <c r="S4" s="315">
        <v>17</v>
      </c>
      <c r="T4" s="315">
        <v>18</v>
      </c>
      <c r="U4" s="315">
        <v>19</v>
      </c>
      <c r="V4" s="315">
        <v>20</v>
      </c>
      <c r="W4" s="315">
        <v>21</v>
      </c>
      <c r="X4" s="315">
        <v>22</v>
      </c>
      <c r="Y4" s="315">
        <v>23</v>
      </c>
      <c r="Z4" s="315">
        <v>24</v>
      </c>
      <c r="AA4" s="315">
        <v>25</v>
      </c>
      <c r="AB4" s="315">
        <v>26</v>
      </c>
      <c r="AC4" s="315">
        <v>27</v>
      </c>
      <c r="AD4" s="315">
        <v>28</v>
      </c>
      <c r="AE4" s="315">
        <v>29</v>
      </c>
      <c r="AF4" s="315">
        <v>30</v>
      </c>
      <c r="AG4" s="315">
        <v>31</v>
      </c>
      <c r="AH4" s="315">
        <v>32</v>
      </c>
      <c r="AI4" s="315">
        <v>33</v>
      </c>
      <c r="AJ4" s="315">
        <v>34</v>
      </c>
      <c r="AK4" s="315">
        <v>35</v>
      </c>
      <c r="AL4" s="315">
        <v>36</v>
      </c>
      <c r="AM4" s="315">
        <v>37</v>
      </c>
      <c r="AN4" s="315">
        <v>38</v>
      </c>
      <c r="AO4" s="315">
        <v>39</v>
      </c>
      <c r="AP4" s="315">
        <v>40</v>
      </c>
      <c r="AQ4" s="315">
        <v>41</v>
      </c>
      <c r="AR4" s="315">
        <v>42</v>
      </c>
      <c r="AS4" s="315">
        <v>43</v>
      </c>
      <c r="AT4" s="315">
        <v>44</v>
      </c>
      <c r="AU4" s="315">
        <v>45</v>
      </c>
      <c r="AV4" s="315">
        <v>46</v>
      </c>
      <c r="AW4" s="315">
        <v>47</v>
      </c>
      <c r="AX4" s="315">
        <v>48</v>
      </c>
      <c r="AY4" s="315">
        <v>49</v>
      </c>
      <c r="AZ4" s="315">
        <v>50</v>
      </c>
    </row>
    <row r="5" spans="1:52">
      <c r="A5" s="313" t="s">
        <v>4</v>
      </c>
      <c r="B5" s="327" t="str">
        <f>'Tableau de bord'!B42</f>
        <v>Modélisé</v>
      </c>
      <c r="C5" s="472">
        <f ca="1">'Tableau de bord'!C42</f>
        <v>1</v>
      </c>
      <c r="D5" s="473">
        <f ca="1">'Tableau de bord'!D42</f>
        <v>1.1210580162503534</v>
      </c>
      <c r="E5" s="473">
        <f ca="1">'Tableau de bord'!E42</f>
        <v>1.2471638346360345</v>
      </c>
      <c r="F5" s="473">
        <f ca="1">'Tableau de bord'!F42</f>
        <v>1.3740457802738204</v>
      </c>
      <c r="G5" s="473">
        <f ca="1">'Tableau de bord'!G42</f>
        <v>1.4333087542720564</v>
      </c>
      <c r="H5" s="473">
        <f ca="1">'Tableau de bord'!H42</f>
        <v>1.4764717733760253</v>
      </c>
      <c r="I5" s="473">
        <f ca="1">'Tableau de bord'!I42</f>
        <v>1.5020597478330207</v>
      </c>
      <c r="J5" s="473">
        <f ca="1">'Tableau de bord'!J42</f>
        <v>1.5112620537116042</v>
      </c>
      <c r="K5" s="473">
        <f ca="1">'Tableau de bord'!K42</f>
        <v>1.5073693829384929</v>
      </c>
      <c r="L5" s="473">
        <f ca="1">'Tableau de bord'!L42</f>
        <v>1.490804748313969</v>
      </c>
      <c r="M5" s="473">
        <f ca="1">'Tableau de bord'!M42</f>
        <v>1.4632513551263955</v>
      </c>
      <c r="N5" s="473">
        <f ca="1">'Tableau de bord'!N42</f>
        <v>1.4255914405609986</v>
      </c>
      <c r="O5" s="473">
        <f ca="1">'Tableau de bord'!O42</f>
        <v>1.3794232998693141</v>
      </c>
      <c r="P5" s="473">
        <f ca="1">'Tableau de bord'!P42</f>
        <v>1.3267015448220636</v>
      </c>
      <c r="Q5" s="473">
        <f ca="1">'Tableau de bord'!Q42</f>
        <v>1.2660314301666338</v>
      </c>
      <c r="R5" s="473">
        <f ca="1">'Tableau de bord'!R42</f>
        <v>1.1977761634664439</v>
      </c>
      <c r="S5" s="473">
        <f ca="1">'Tableau de bord'!S42</f>
        <v>1.1218677624652438</v>
      </c>
      <c r="T5" s="473">
        <f ca="1">'Tableau de bord'!T42</f>
        <v>1.0369922218188041</v>
      </c>
      <c r="U5" s="473">
        <f ca="1">'Tableau de bord'!U42</f>
        <v>0.94398683026173091</v>
      </c>
      <c r="V5" s="473">
        <f ca="1">'Tableau de bord'!V42</f>
        <v>0.84089415408869839</v>
      </c>
      <c r="W5" s="473">
        <f ca="1">'Tableau de bord'!W42</f>
        <v>0.72855235000367535</v>
      </c>
      <c r="X5" s="473">
        <f ca="1">'Tableau de bord'!X42</f>
        <v>0.60542103031784844</v>
      </c>
      <c r="Y5" s="473">
        <f ca="1">'Tableau de bord'!Y42</f>
        <v>0.47125352269529941</v>
      </c>
      <c r="Z5" s="473">
        <f ca="1">'Tableau de bord'!Z42</f>
        <v>0.4</v>
      </c>
      <c r="AA5" s="473">
        <f ca="1">'Tableau de bord'!AA42</f>
        <v>0.4</v>
      </c>
      <c r="AB5" s="473">
        <f ca="1">'Tableau de bord'!AB42</f>
        <v>0.4</v>
      </c>
      <c r="AC5" s="473">
        <f ca="1">'Tableau de bord'!AC42</f>
        <v>0.4</v>
      </c>
      <c r="AD5" s="473">
        <f ca="1">'Tableau de bord'!AD42</f>
        <v>0.4</v>
      </c>
      <c r="AE5" s="473">
        <f ca="1">'Tableau de bord'!AE42</f>
        <v>0.4</v>
      </c>
      <c r="AF5" s="473">
        <f ca="1">'Tableau de bord'!AF42</f>
        <v>0.4</v>
      </c>
      <c r="AG5" s="473">
        <f ca="1">'Tableau de bord'!AG42</f>
        <v>0.4</v>
      </c>
      <c r="AH5" s="473">
        <f ca="1">'Tableau de bord'!AH42</f>
        <v>0.4</v>
      </c>
      <c r="AI5" s="473">
        <f ca="1">'Tableau de bord'!AI42</f>
        <v>0.4</v>
      </c>
      <c r="AJ5" s="473">
        <f ca="1">'Tableau de bord'!AJ42</f>
        <v>0.4</v>
      </c>
      <c r="AK5" s="473">
        <f ca="1">'Tableau de bord'!AK42</f>
        <v>0.4</v>
      </c>
      <c r="AL5" s="473">
        <f ca="1">'Tableau de bord'!AL42</f>
        <v>0.4</v>
      </c>
      <c r="AM5" s="473">
        <f ca="1">'Tableau de bord'!AM42</f>
        <v>0.4</v>
      </c>
      <c r="AN5" s="473">
        <f ca="1">'Tableau de bord'!AN42</f>
        <v>0.4</v>
      </c>
      <c r="AO5" s="473">
        <f ca="1">'Tableau de bord'!AO42</f>
        <v>0.4</v>
      </c>
      <c r="AP5" s="473">
        <f ca="1">'Tableau de bord'!AP42</f>
        <v>0.4</v>
      </c>
      <c r="AQ5" s="473">
        <f ca="1">'Tableau de bord'!AQ42</f>
        <v>0.4</v>
      </c>
      <c r="AR5" s="473">
        <f ca="1">'Tableau de bord'!AR42</f>
        <v>0.4</v>
      </c>
      <c r="AS5" s="473">
        <f ca="1">'Tableau de bord'!AS42</f>
        <v>0.4</v>
      </c>
      <c r="AT5" s="473">
        <f ca="1">'Tableau de bord'!AT42</f>
        <v>0.4</v>
      </c>
      <c r="AU5" s="473">
        <f ca="1">'Tableau de bord'!AU42</f>
        <v>0.4</v>
      </c>
      <c r="AV5" s="473">
        <f ca="1">'Tableau de bord'!AV42</f>
        <v>0.4</v>
      </c>
      <c r="AW5" s="473">
        <f ca="1">'Tableau de bord'!AW42</f>
        <v>0.4</v>
      </c>
      <c r="AX5" s="473">
        <f ca="1">'Tableau de bord'!AX42</f>
        <v>0.4</v>
      </c>
      <c r="AY5" s="473">
        <f ca="1">'Tableau de bord'!AY42</f>
        <v>0.4</v>
      </c>
      <c r="AZ5" s="474">
        <f ca="1">'Tableau de bord'!AZ42</f>
        <v>0.4</v>
      </c>
    </row>
    <row r="6" spans="1:52">
      <c r="A6" s="313"/>
      <c r="B6" s="328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30"/>
      <c r="X6" s="430"/>
      <c r="Y6" s="430"/>
      <c r="Z6" s="430"/>
      <c r="AA6" s="430"/>
      <c r="AB6" s="430"/>
      <c r="AC6" s="430"/>
      <c r="AD6" s="430"/>
      <c r="AE6" s="430"/>
      <c r="AF6" s="431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</row>
    <row r="7" spans="1:52">
      <c r="A7" s="313" t="s">
        <v>29</v>
      </c>
      <c r="B7" s="327" t="str">
        <f>'Tableau de bord'!B18</f>
        <v>Exemple 1</v>
      </c>
      <c r="C7" s="297">
        <f>'Tableau de bord'!C18</f>
        <v>8000</v>
      </c>
      <c r="D7" s="298">
        <f>'Tableau de bord'!D18</f>
        <v>13000</v>
      </c>
      <c r="E7" s="298">
        <f>'Tableau de bord'!E18</f>
        <v>15000</v>
      </c>
      <c r="F7" s="298">
        <f>'Tableau de bord'!F18</f>
        <v>16000</v>
      </c>
      <c r="G7" s="298">
        <f>'Tableau de bord'!G18</f>
        <v>15000</v>
      </c>
      <c r="H7" s="298">
        <f>'Tableau de bord'!H18</f>
        <v>13000</v>
      </c>
      <c r="I7" s="298">
        <f>'Tableau de bord'!I18</f>
        <v>9000</v>
      </c>
      <c r="J7" s="298">
        <f>'Tableau de bord'!J18</f>
        <v>8000</v>
      </c>
      <c r="K7" s="298">
        <f>'Tableau de bord'!K18</f>
        <v>3000</v>
      </c>
      <c r="L7" s="298">
        <f>'Tableau de bord'!L18</f>
        <v>0</v>
      </c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5"/>
      <c r="AY7" s="475"/>
      <c r="AZ7" s="476"/>
    </row>
    <row r="8" spans="1:52">
      <c r="A8" s="313" t="s">
        <v>30</v>
      </c>
      <c r="B8" s="327" t="str">
        <f>'Tableau de bord'!B28</f>
        <v>Modélisées</v>
      </c>
      <c r="C8" s="297">
        <f>'Tableau de bord'!C28</f>
        <v>3200</v>
      </c>
      <c r="D8" s="298">
        <f>'Tableau de bord'!D28</f>
        <v>7600</v>
      </c>
      <c r="E8" s="298">
        <f>'Tableau de bord'!E28</f>
        <v>11100</v>
      </c>
      <c r="F8" s="298">
        <f>'Tableau de bord'!F28</f>
        <v>13650</v>
      </c>
      <c r="G8" s="298">
        <f>'Tableau de bord'!G28</f>
        <v>14750</v>
      </c>
      <c r="H8" s="298">
        <f>'Tableau de bord'!H28</f>
        <v>14250</v>
      </c>
      <c r="I8" s="298">
        <f>'Tableau de bord'!I28</f>
        <v>12100</v>
      </c>
      <c r="J8" s="298">
        <f>'Tableau de bord'!J28</f>
        <v>10150</v>
      </c>
      <c r="K8" s="298">
        <f>'Tableau de bord'!K28</f>
        <v>7000</v>
      </c>
      <c r="L8" s="298">
        <f>'Tableau de bord'!L28</f>
        <v>3650</v>
      </c>
      <c r="M8" s="298">
        <f>'Tableau de bord'!M28</f>
        <v>1700</v>
      </c>
      <c r="N8" s="298">
        <f>'Tableau de bord'!N28</f>
        <v>700</v>
      </c>
      <c r="O8" s="298">
        <f>'Tableau de bord'!O28</f>
        <v>150</v>
      </c>
      <c r="P8" s="298">
        <f>'Tableau de bord'!P28</f>
        <v>0</v>
      </c>
      <c r="Q8" s="298">
        <f>'Tableau de bord'!Q28</f>
        <v>0</v>
      </c>
      <c r="R8" s="475"/>
      <c r="S8" s="475"/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5"/>
      <c r="AL8" s="475"/>
      <c r="AM8" s="475"/>
      <c r="AN8" s="475"/>
      <c r="AO8" s="475"/>
      <c r="AP8" s="475"/>
      <c r="AQ8" s="475"/>
      <c r="AR8" s="475"/>
      <c r="AS8" s="475"/>
      <c r="AT8" s="475"/>
      <c r="AU8" s="475"/>
      <c r="AV8" s="475"/>
      <c r="AW8" s="475"/>
      <c r="AX8" s="475"/>
      <c r="AY8" s="475"/>
      <c r="AZ8" s="476"/>
    </row>
    <row r="9" spans="1:52">
      <c r="A9" s="329" t="s">
        <v>18</v>
      </c>
      <c r="B9" s="327" t="str">
        <f>'Tableau de bord'!B46</f>
        <v>Exemple rapide</v>
      </c>
      <c r="C9" s="330">
        <f>'Tableau de bord'!C46</f>
        <v>0.35000000000000009</v>
      </c>
      <c r="D9" s="392">
        <f>'Tableau de bord'!D46</f>
        <v>0</v>
      </c>
      <c r="E9" s="392">
        <f>'Tableau de bord'!E46</f>
        <v>0.05</v>
      </c>
      <c r="F9" s="392">
        <f>'Tableau de bord'!F46</f>
        <v>0.05</v>
      </c>
      <c r="G9" s="392">
        <f>'Tableau de bord'!G46</f>
        <v>0</v>
      </c>
      <c r="H9" s="392">
        <f>'Tableau de bord'!H46</f>
        <v>0.1</v>
      </c>
      <c r="I9" s="392">
        <f>'Tableau de bord'!I46</f>
        <v>0.05</v>
      </c>
      <c r="J9" s="392">
        <f>'Tableau de bord'!J46</f>
        <v>0.05</v>
      </c>
      <c r="K9" s="392">
        <f>'Tableau de bord'!K46</f>
        <v>0.1</v>
      </c>
      <c r="L9" s="392">
        <f>'Tableau de bord'!L46</f>
        <v>0.05</v>
      </c>
      <c r="M9" s="392">
        <f>'Tableau de bord'!M46</f>
        <v>0.05</v>
      </c>
      <c r="N9" s="392">
        <f>'Tableau de bord'!N46</f>
        <v>0</v>
      </c>
      <c r="O9" s="392">
        <f>'Tableau de bord'!O46</f>
        <v>0</v>
      </c>
      <c r="P9" s="392">
        <f>'Tableau de bord'!P46</f>
        <v>0.05</v>
      </c>
      <c r="Q9" s="392">
        <f>'Tableau de bord'!Q46</f>
        <v>0</v>
      </c>
      <c r="R9" s="392">
        <f>'Tableau de bord'!R46</f>
        <v>0</v>
      </c>
      <c r="S9" s="392">
        <f>'Tableau de bord'!S46</f>
        <v>0</v>
      </c>
      <c r="T9" s="392">
        <f>'Tableau de bord'!T46</f>
        <v>0</v>
      </c>
      <c r="U9" s="392">
        <f>'Tableau de bord'!U46</f>
        <v>0</v>
      </c>
      <c r="V9" s="392">
        <f>'Tableau de bord'!V46</f>
        <v>0</v>
      </c>
      <c r="W9" s="392">
        <f>'Tableau de bord'!W46</f>
        <v>0</v>
      </c>
      <c r="X9" s="392">
        <f>'Tableau de bord'!X46</f>
        <v>0</v>
      </c>
      <c r="Y9" s="392">
        <f>'Tableau de bord'!Y46</f>
        <v>0</v>
      </c>
      <c r="Z9" s="392">
        <f>'Tableau de bord'!Z46</f>
        <v>0</v>
      </c>
      <c r="AA9" s="392">
        <f>'Tableau de bord'!AA46</f>
        <v>0</v>
      </c>
      <c r="AB9" s="392">
        <f>'Tableau de bord'!AB46</f>
        <v>0</v>
      </c>
      <c r="AC9" s="392">
        <f>'Tableau de bord'!AC46</f>
        <v>0</v>
      </c>
      <c r="AD9" s="392">
        <f>'Tableau de bord'!AD46</f>
        <v>0</v>
      </c>
      <c r="AE9" s="392">
        <f>'Tableau de bord'!AE46</f>
        <v>0</v>
      </c>
      <c r="AF9" s="392">
        <f>'Tableau de bord'!AF46</f>
        <v>0</v>
      </c>
      <c r="AG9" s="392">
        <f>'Tableau de bord'!AG46</f>
        <v>0</v>
      </c>
      <c r="AH9" s="392">
        <f>'Tableau de bord'!AH46</f>
        <v>0</v>
      </c>
      <c r="AI9" s="392">
        <f>'Tableau de bord'!AI46</f>
        <v>0</v>
      </c>
      <c r="AJ9" s="392">
        <f>'Tableau de bord'!AJ46</f>
        <v>0</v>
      </c>
      <c r="AK9" s="392">
        <f>'Tableau de bord'!AK46</f>
        <v>0</v>
      </c>
      <c r="AL9" s="392">
        <f>'Tableau de bord'!AL46</f>
        <v>0</v>
      </c>
      <c r="AM9" s="392">
        <f>'Tableau de bord'!AM46</f>
        <v>0</v>
      </c>
      <c r="AN9" s="392">
        <f>'Tableau de bord'!AN46</f>
        <v>0</v>
      </c>
      <c r="AO9" s="392">
        <f>'Tableau de bord'!AO46</f>
        <v>0</v>
      </c>
      <c r="AP9" s="392">
        <f>'Tableau de bord'!AP46</f>
        <v>0</v>
      </c>
      <c r="AQ9" s="392">
        <f>'Tableau de bord'!AQ46</f>
        <v>0</v>
      </c>
      <c r="AR9" s="392">
        <f>'Tableau de bord'!AR46</f>
        <v>0</v>
      </c>
      <c r="AS9" s="392">
        <f>'Tableau de bord'!AS46</f>
        <v>0</v>
      </c>
      <c r="AT9" s="392">
        <f>'Tableau de bord'!AT46</f>
        <v>0</v>
      </c>
      <c r="AU9" s="392">
        <f>'Tableau de bord'!AU46</f>
        <v>0</v>
      </c>
      <c r="AV9" s="392">
        <f>'Tableau de bord'!AV46</f>
        <v>0</v>
      </c>
      <c r="AW9" s="392">
        <f>'Tableau de bord'!AW46</f>
        <v>0</v>
      </c>
      <c r="AX9" s="392">
        <f>'Tableau de bord'!AX46</f>
        <v>0</v>
      </c>
      <c r="AY9" s="392">
        <f>'Tableau de bord'!AY46</f>
        <v>0</v>
      </c>
      <c r="AZ9" s="393">
        <f>'Tableau de bord'!AZ46</f>
        <v>0</v>
      </c>
    </row>
    <row r="10" spans="1:52">
      <c r="A10" s="313"/>
      <c r="B10" s="32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</row>
    <row r="11" spans="1:52" s="111" customFormat="1">
      <c r="A11" s="281" t="s">
        <v>66</v>
      </c>
      <c r="B11" s="345"/>
      <c r="C11" s="461">
        <f ca="1">SUMPRODUCT(C47:C56*C18:C27)</f>
        <v>392000.00000000012</v>
      </c>
      <c r="D11" s="462">
        <f ca="1">SUMPRODUCT(D47:D56*D18:D27)</f>
        <v>637000.00000000012</v>
      </c>
      <c r="E11" s="462">
        <f ca="1">SUMPRODUCT(E47:E56,E18:E27)</f>
        <v>1011857.4542184002</v>
      </c>
      <c r="F11" s="462">
        <f ca="1">SUMPRODUCT(F47:F56,F18:F27)</f>
        <v>1316149.5643535003</v>
      </c>
      <c r="G11" s="462">
        <f ca="1">SUMPRODUCT(G47:G56,G18:G27)</f>
        <v>945000.00000000012</v>
      </c>
      <c r="H11" s="462">
        <f ca="1">SUMPRODUCT(H47:H56,H18:H27)</f>
        <v>2230563.5281241774</v>
      </c>
      <c r="I11" s="462">
        <f t="shared" ref="I11:AZ11" ca="1" si="0">SUMPRODUCT(I47:I56*I18:I27)</f>
        <v>1511833.3059606673</v>
      </c>
      <c r="J11" s="462">
        <f t="shared" ca="1" si="0"/>
        <v>1593271.5996480105</v>
      </c>
      <c r="K11" s="462">
        <f t="shared" ca="1" si="0"/>
        <v>2238809.6003369344</v>
      </c>
      <c r="L11" s="462">
        <f t="shared" ca="1" si="0"/>
        <v>1012977.7972313679</v>
      </c>
      <c r="M11" s="462">
        <f t="shared" ca="1" si="0"/>
        <v>1030651.1038494064</v>
      </c>
      <c r="N11" s="462">
        <f t="shared" ca="1" si="0"/>
        <v>0</v>
      </c>
      <c r="O11" s="462">
        <f t="shared" ca="1" si="0"/>
        <v>0</v>
      </c>
      <c r="P11" s="462">
        <f t="shared" ca="1" si="0"/>
        <v>1017429.9347549506</v>
      </c>
      <c r="Q11" s="462">
        <f t="shared" ca="1" si="0"/>
        <v>0</v>
      </c>
      <c r="R11" s="462">
        <f t="shared" ca="1" si="0"/>
        <v>0</v>
      </c>
      <c r="S11" s="462">
        <f t="shared" ca="1" si="0"/>
        <v>0</v>
      </c>
      <c r="T11" s="462">
        <f t="shared" ca="1" si="0"/>
        <v>0</v>
      </c>
      <c r="U11" s="462">
        <f t="shared" ca="1" si="0"/>
        <v>0</v>
      </c>
      <c r="V11" s="462">
        <f t="shared" ca="1" si="0"/>
        <v>0</v>
      </c>
      <c r="W11" s="462">
        <f t="shared" ca="1" si="0"/>
        <v>0</v>
      </c>
      <c r="X11" s="462">
        <f t="shared" ca="1" si="0"/>
        <v>0</v>
      </c>
      <c r="Y11" s="462">
        <f t="shared" ca="1" si="0"/>
        <v>0</v>
      </c>
      <c r="Z11" s="462">
        <f t="shared" ca="1" si="0"/>
        <v>0</v>
      </c>
      <c r="AA11" s="462">
        <f t="shared" ca="1" si="0"/>
        <v>0</v>
      </c>
      <c r="AB11" s="462">
        <f t="shared" ca="1" si="0"/>
        <v>0</v>
      </c>
      <c r="AC11" s="462">
        <f t="shared" ca="1" si="0"/>
        <v>0</v>
      </c>
      <c r="AD11" s="462">
        <f t="shared" ca="1" si="0"/>
        <v>0</v>
      </c>
      <c r="AE11" s="462">
        <f t="shared" ca="1" si="0"/>
        <v>0</v>
      </c>
      <c r="AF11" s="462">
        <f t="shared" ca="1" si="0"/>
        <v>0</v>
      </c>
      <c r="AG11" s="462">
        <f t="shared" ca="1" si="0"/>
        <v>0</v>
      </c>
      <c r="AH11" s="462">
        <f t="shared" ca="1" si="0"/>
        <v>0</v>
      </c>
      <c r="AI11" s="462">
        <f t="shared" ca="1" si="0"/>
        <v>0</v>
      </c>
      <c r="AJ11" s="462">
        <f t="shared" ca="1" si="0"/>
        <v>0</v>
      </c>
      <c r="AK11" s="462">
        <f t="shared" ca="1" si="0"/>
        <v>0</v>
      </c>
      <c r="AL11" s="462">
        <f t="shared" ca="1" si="0"/>
        <v>0</v>
      </c>
      <c r="AM11" s="462">
        <f t="shared" ca="1" si="0"/>
        <v>0</v>
      </c>
      <c r="AN11" s="462">
        <f t="shared" ca="1" si="0"/>
        <v>0</v>
      </c>
      <c r="AO11" s="462">
        <f t="shared" ca="1" si="0"/>
        <v>0</v>
      </c>
      <c r="AP11" s="462">
        <f t="shared" ca="1" si="0"/>
        <v>0</v>
      </c>
      <c r="AQ11" s="462">
        <f t="shared" ca="1" si="0"/>
        <v>0</v>
      </c>
      <c r="AR11" s="462">
        <f t="shared" ca="1" si="0"/>
        <v>0</v>
      </c>
      <c r="AS11" s="462">
        <f t="shared" ca="1" si="0"/>
        <v>0</v>
      </c>
      <c r="AT11" s="462">
        <f t="shared" ca="1" si="0"/>
        <v>0</v>
      </c>
      <c r="AU11" s="462">
        <f t="shared" ca="1" si="0"/>
        <v>0</v>
      </c>
      <c r="AV11" s="462">
        <f t="shared" ca="1" si="0"/>
        <v>0</v>
      </c>
      <c r="AW11" s="462">
        <f t="shared" ca="1" si="0"/>
        <v>0</v>
      </c>
      <c r="AX11" s="462">
        <f t="shared" ca="1" si="0"/>
        <v>0</v>
      </c>
      <c r="AY11" s="462">
        <f t="shared" ca="1" si="0"/>
        <v>0</v>
      </c>
      <c r="AZ11" s="463">
        <f t="shared" ca="1" si="0"/>
        <v>0</v>
      </c>
    </row>
    <row r="12" spans="1:52" s="111" customFormat="1">
      <c r="A12" s="281" t="s">
        <v>67</v>
      </c>
      <c r="B12" s="345"/>
      <c r="C12" s="477">
        <f ca="1">SUMPRODUCT(C59:C73*C30:C44)</f>
        <v>403200.00000000012</v>
      </c>
      <c r="D12" s="478">
        <f t="shared" ref="D12:AZ12" ca="1" si="1">SUMPRODUCT(D59:D73*D30:D44)</f>
        <v>957600.00000000023</v>
      </c>
      <c r="E12" s="478">
        <f t="shared" ca="1" si="1"/>
        <v>1823597.3734980843</v>
      </c>
      <c r="F12" s="478">
        <f t="shared" ca="1" si="1"/>
        <v>2685044.4411688028</v>
      </c>
      <c r="G12" s="478">
        <f t="shared" ca="1" si="1"/>
        <v>2389500.0000000005</v>
      </c>
      <c r="H12" s="478">
        <f t="shared" ca="1" si="1"/>
        <v>5140949.6322282571</v>
      </c>
      <c r="I12" s="478">
        <f t="shared" ca="1" si="1"/>
        <v>4144751.4966539405</v>
      </c>
      <c r="J12" s="478">
        <f t="shared" ca="1" si="1"/>
        <v>4243666.6032286892</v>
      </c>
      <c r="K12" s="478">
        <f t="shared" ca="1" si="1"/>
        <v>6221763.1547853313</v>
      </c>
      <c r="L12" s="478">
        <f t="shared" ca="1" si="1"/>
        <v>3442308.9883443257</v>
      </c>
      <c r="M12" s="478">
        <f t="shared" ca="1" si="1"/>
        <v>3052435.69542157</v>
      </c>
      <c r="N12" s="478">
        <f t="shared" ca="1" si="1"/>
        <v>214200.00000000006</v>
      </c>
      <c r="O12" s="478">
        <f t="shared" ca="1" si="1"/>
        <v>45900.000000000007</v>
      </c>
      <c r="P12" s="478">
        <f t="shared" ca="1" si="1"/>
        <v>2636495.9932488007</v>
      </c>
      <c r="Q12" s="478">
        <f t="shared" ca="1" si="1"/>
        <v>0</v>
      </c>
      <c r="R12" s="478">
        <f t="shared" ca="1" si="1"/>
        <v>0</v>
      </c>
      <c r="S12" s="478">
        <f t="shared" ca="1" si="1"/>
        <v>0</v>
      </c>
      <c r="T12" s="478">
        <f t="shared" ca="1" si="1"/>
        <v>0</v>
      </c>
      <c r="U12" s="478">
        <f t="shared" ca="1" si="1"/>
        <v>0</v>
      </c>
      <c r="V12" s="478">
        <f t="shared" ca="1" si="1"/>
        <v>0</v>
      </c>
      <c r="W12" s="478">
        <f t="shared" ca="1" si="1"/>
        <v>0</v>
      </c>
      <c r="X12" s="478">
        <f t="shared" ca="1" si="1"/>
        <v>0</v>
      </c>
      <c r="Y12" s="478">
        <f t="shared" ca="1" si="1"/>
        <v>0</v>
      </c>
      <c r="Z12" s="478">
        <f t="shared" ca="1" si="1"/>
        <v>0</v>
      </c>
      <c r="AA12" s="478">
        <f t="shared" ca="1" si="1"/>
        <v>0</v>
      </c>
      <c r="AB12" s="478">
        <f t="shared" ca="1" si="1"/>
        <v>0</v>
      </c>
      <c r="AC12" s="478">
        <f t="shared" ca="1" si="1"/>
        <v>0</v>
      </c>
      <c r="AD12" s="478">
        <f t="shared" ca="1" si="1"/>
        <v>0</v>
      </c>
      <c r="AE12" s="478">
        <f t="shared" ca="1" si="1"/>
        <v>0</v>
      </c>
      <c r="AF12" s="478">
        <f t="shared" ca="1" si="1"/>
        <v>0</v>
      </c>
      <c r="AG12" s="478">
        <f t="shared" ca="1" si="1"/>
        <v>0</v>
      </c>
      <c r="AH12" s="478">
        <f t="shared" ca="1" si="1"/>
        <v>0</v>
      </c>
      <c r="AI12" s="478">
        <f t="shared" ca="1" si="1"/>
        <v>0</v>
      </c>
      <c r="AJ12" s="478">
        <f t="shared" ca="1" si="1"/>
        <v>0</v>
      </c>
      <c r="AK12" s="478">
        <f t="shared" ca="1" si="1"/>
        <v>0</v>
      </c>
      <c r="AL12" s="478">
        <f t="shared" ca="1" si="1"/>
        <v>0</v>
      </c>
      <c r="AM12" s="478">
        <f t="shared" ca="1" si="1"/>
        <v>0</v>
      </c>
      <c r="AN12" s="478">
        <f t="shared" ca="1" si="1"/>
        <v>0</v>
      </c>
      <c r="AO12" s="478">
        <f t="shared" ca="1" si="1"/>
        <v>0</v>
      </c>
      <c r="AP12" s="478">
        <f t="shared" ca="1" si="1"/>
        <v>0</v>
      </c>
      <c r="AQ12" s="478">
        <f t="shared" ca="1" si="1"/>
        <v>0</v>
      </c>
      <c r="AR12" s="478">
        <f t="shared" ca="1" si="1"/>
        <v>0</v>
      </c>
      <c r="AS12" s="478">
        <f t="shared" ca="1" si="1"/>
        <v>0</v>
      </c>
      <c r="AT12" s="478">
        <f t="shared" ca="1" si="1"/>
        <v>0</v>
      </c>
      <c r="AU12" s="478">
        <f t="shared" ca="1" si="1"/>
        <v>0</v>
      </c>
      <c r="AV12" s="478">
        <f t="shared" ca="1" si="1"/>
        <v>0</v>
      </c>
      <c r="AW12" s="478">
        <f t="shared" ca="1" si="1"/>
        <v>0</v>
      </c>
      <c r="AX12" s="478">
        <f t="shared" ca="1" si="1"/>
        <v>0</v>
      </c>
      <c r="AY12" s="478">
        <f t="shared" ca="1" si="1"/>
        <v>0</v>
      </c>
      <c r="AZ12" s="479">
        <f t="shared" ca="1" si="1"/>
        <v>0</v>
      </c>
    </row>
    <row r="13" spans="1:52" s="111" customFormat="1">
      <c r="A13" s="281" t="s">
        <v>172</v>
      </c>
      <c r="B13" s="345"/>
      <c r="C13" s="461">
        <f>(SUM(C76:C85))</f>
        <v>0</v>
      </c>
      <c r="D13" s="462">
        <f t="shared" ref="D13:AZ13" si="2">(SUM(D76:D85))</f>
        <v>0</v>
      </c>
      <c r="E13" s="462">
        <f t="shared" si="2"/>
        <v>0</v>
      </c>
      <c r="F13" s="462">
        <f t="shared" si="2"/>
        <v>0</v>
      </c>
      <c r="G13" s="462">
        <f t="shared" si="2"/>
        <v>0</v>
      </c>
      <c r="H13" s="462">
        <f t="shared" si="2"/>
        <v>0</v>
      </c>
      <c r="I13" s="462">
        <f t="shared" si="2"/>
        <v>0</v>
      </c>
      <c r="J13" s="462">
        <f t="shared" si="2"/>
        <v>0</v>
      </c>
      <c r="K13" s="462">
        <f t="shared" si="2"/>
        <v>0</v>
      </c>
      <c r="L13" s="462">
        <f t="shared" si="2"/>
        <v>0</v>
      </c>
      <c r="M13" s="462">
        <f t="shared" si="2"/>
        <v>0</v>
      </c>
      <c r="N13" s="462">
        <f t="shared" si="2"/>
        <v>0</v>
      </c>
      <c r="O13" s="462">
        <f t="shared" si="2"/>
        <v>0</v>
      </c>
      <c r="P13" s="462">
        <f t="shared" si="2"/>
        <v>0</v>
      </c>
      <c r="Q13" s="462">
        <f t="shared" si="2"/>
        <v>0</v>
      </c>
      <c r="R13" s="462">
        <f t="shared" si="2"/>
        <v>0</v>
      </c>
      <c r="S13" s="462">
        <f t="shared" si="2"/>
        <v>0</v>
      </c>
      <c r="T13" s="462">
        <f t="shared" si="2"/>
        <v>0</v>
      </c>
      <c r="U13" s="462">
        <f t="shared" si="2"/>
        <v>0</v>
      </c>
      <c r="V13" s="462">
        <f t="shared" si="2"/>
        <v>7200.0000000000018</v>
      </c>
      <c r="W13" s="462">
        <f t="shared" si="2"/>
        <v>11700.000000000004</v>
      </c>
      <c r="X13" s="462">
        <f t="shared" si="2"/>
        <v>13500.000000000004</v>
      </c>
      <c r="Y13" s="462">
        <f t="shared" si="2"/>
        <v>14400.000000000004</v>
      </c>
      <c r="Z13" s="462">
        <f t="shared" si="2"/>
        <v>13500.000000000004</v>
      </c>
      <c r="AA13" s="462">
        <f t="shared" si="2"/>
        <v>11700.000000000004</v>
      </c>
      <c r="AB13" s="462">
        <f t="shared" si="2"/>
        <v>8100.0000000000018</v>
      </c>
      <c r="AC13" s="462">
        <f t="shared" si="2"/>
        <v>7200.0000000000018</v>
      </c>
      <c r="AD13" s="462">
        <f t="shared" si="2"/>
        <v>2700.0000000000009</v>
      </c>
      <c r="AE13" s="462">
        <f t="shared" si="2"/>
        <v>0</v>
      </c>
      <c r="AF13" s="462">
        <f t="shared" si="2"/>
        <v>0</v>
      </c>
      <c r="AG13" s="462">
        <f t="shared" si="2"/>
        <v>0</v>
      </c>
      <c r="AH13" s="462">
        <f t="shared" si="2"/>
        <v>0</v>
      </c>
      <c r="AI13" s="462">
        <f t="shared" si="2"/>
        <v>0</v>
      </c>
      <c r="AJ13" s="462">
        <f t="shared" si="2"/>
        <v>0</v>
      </c>
      <c r="AK13" s="462">
        <f t="shared" si="2"/>
        <v>0</v>
      </c>
      <c r="AL13" s="462">
        <f t="shared" si="2"/>
        <v>0</v>
      </c>
      <c r="AM13" s="462">
        <f t="shared" si="2"/>
        <v>0</v>
      </c>
      <c r="AN13" s="462">
        <f t="shared" si="2"/>
        <v>0</v>
      </c>
      <c r="AO13" s="462">
        <f t="shared" si="2"/>
        <v>0</v>
      </c>
      <c r="AP13" s="462">
        <f t="shared" si="2"/>
        <v>7200.0000000000018</v>
      </c>
      <c r="AQ13" s="462">
        <f t="shared" si="2"/>
        <v>11700.000000000004</v>
      </c>
      <c r="AR13" s="462">
        <f t="shared" si="2"/>
        <v>13500.000000000004</v>
      </c>
      <c r="AS13" s="462">
        <f t="shared" si="2"/>
        <v>14400.000000000004</v>
      </c>
      <c r="AT13" s="462">
        <f t="shared" si="2"/>
        <v>13500.000000000004</v>
      </c>
      <c r="AU13" s="462">
        <f t="shared" si="2"/>
        <v>11700.000000000004</v>
      </c>
      <c r="AV13" s="462">
        <f t="shared" si="2"/>
        <v>8100.0000000000018</v>
      </c>
      <c r="AW13" s="462">
        <f t="shared" si="2"/>
        <v>7200.0000000000018</v>
      </c>
      <c r="AX13" s="462">
        <f t="shared" si="2"/>
        <v>2700.0000000000009</v>
      </c>
      <c r="AY13" s="462">
        <f t="shared" si="2"/>
        <v>0</v>
      </c>
      <c r="AZ13" s="463">
        <f t="shared" si="2"/>
        <v>0</v>
      </c>
    </row>
    <row r="14" spans="1:52">
      <c r="A14" s="83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</row>
    <row r="15" spans="1:52">
      <c r="A15" s="280" t="s">
        <v>21</v>
      </c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</row>
    <row r="16" spans="1:52" hidden="1" outlineLevel="1">
      <c r="A16" s="353"/>
      <c r="B16" s="328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1"/>
      <c r="X16" s="481"/>
      <c r="Y16" s="481"/>
      <c r="Z16" s="481"/>
      <c r="AA16" s="481"/>
      <c r="AB16" s="481"/>
      <c r="AC16" s="481"/>
      <c r="AD16" s="481"/>
      <c r="AE16" s="481"/>
      <c r="AF16" s="480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</row>
    <row r="17" spans="1:52" hidden="1" outlineLevel="1">
      <c r="A17" s="329" t="s">
        <v>161</v>
      </c>
      <c r="B17" s="354"/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1"/>
      <c r="AF17" s="480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</row>
    <row r="18" spans="1:52" hidden="1" outlineLevel="1">
      <c r="A18" s="355" t="s">
        <v>151</v>
      </c>
      <c r="C18" s="482">
        <f ca="1">$C$7*C$5*$C$2</f>
        <v>1120000</v>
      </c>
      <c r="D18" s="483">
        <f t="shared" ref="D18:AH18" ca="1" si="3">$C$7*D$5*$C$2</f>
        <v>1255584.9782003958</v>
      </c>
      <c r="E18" s="483">
        <f t="shared" ca="1" si="3"/>
        <v>1396823.4947923587</v>
      </c>
      <c r="F18" s="483">
        <f t="shared" ca="1" si="3"/>
        <v>1538931.2739066789</v>
      </c>
      <c r="G18" s="483">
        <f t="shared" ca="1" si="3"/>
        <v>1605305.8047847031</v>
      </c>
      <c r="H18" s="483">
        <f t="shared" ca="1" si="3"/>
        <v>1653648.3861811485</v>
      </c>
      <c r="I18" s="483">
        <f t="shared" ca="1" si="3"/>
        <v>1682306.9175729833</v>
      </c>
      <c r="J18" s="483">
        <f t="shared" ca="1" si="3"/>
        <v>1692613.5001569968</v>
      </c>
      <c r="K18" s="483">
        <f t="shared" ca="1" si="3"/>
        <v>1688253.7088911121</v>
      </c>
      <c r="L18" s="483">
        <f t="shared" ca="1" si="3"/>
        <v>1669701.3181116453</v>
      </c>
      <c r="M18" s="483">
        <f t="shared" ca="1" si="3"/>
        <v>1638841.517741563</v>
      </c>
      <c r="N18" s="483">
        <f t="shared" ca="1" si="3"/>
        <v>1596662.4134283185</v>
      </c>
      <c r="O18" s="483">
        <f t="shared" ca="1" si="3"/>
        <v>1544954.0958536319</v>
      </c>
      <c r="P18" s="483">
        <f t="shared" ca="1" si="3"/>
        <v>1485905.7302007112</v>
      </c>
      <c r="Q18" s="483">
        <f t="shared" ca="1" si="3"/>
        <v>1417955.2017866299</v>
      </c>
      <c r="R18" s="483">
        <f t="shared" ca="1" si="3"/>
        <v>1341509.3030824172</v>
      </c>
      <c r="S18" s="483">
        <f t="shared" ca="1" si="3"/>
        <v>1256491.8939610729</v>
      </c>
      <c r="T18" s="483">
        <f t="shared" ca="1" si="3"/>
        <v>1161431.2884370608</v>
      </c>
      <c r="U18" s="483">
        <f t="shared" ca="1" si="3"/>
        <v>1057265.2498931387</v>
      </c>
      <c r="V18" s="483">
        <f t="shared" ca="1" si="3"/>
        <v>941801.45257934229</v>
      </c>
      <c r="W18" s="483">
        <f t="shared" ca="1" si="3"/>
        <v>815978.63200411631</v>
      </c>
      <c r="X18" s="483">
        <f t="shared" ca="1" si="3"/>
        <v>678071.55395599024</v>
      </c>
      <c r="Y18" s="483">
        <f t="shared" ca="1" si="3"/>
        <v>527803.94541873538</v>
      </c>
      <c r="Z18" s="483">
        <f t="shared" ca="1" si="3"/>
        <v>448000</v>
      </c>
      <c r="AA18" s="483">
        <f t="shared" ca="1" si="3"/>
        <v>448000</v>
      </c>
      <c r="AB18" s="483">
        <f t="shared" ca="1" si="3"/>
        <v>448000</v>
      </c>
      <c r="AC18" s="483">
        <f t="shared" ca="1" si="3"/>
        <v>448000</v>
      </c>
      <c r="AD18" s="483">
        <f t="shared" ca="1" si="3"/>
        <v>448000</v>
      </c>
      <c r="AE18" s="483">
        <f t="shared" ca="1" si="3"/>
        <v>448000</v>
      </c>
      <c r="AF18" s="483">
        <f t="shared" ca="1" si="3"/>
        <v>448000</v>
      </c>
      <c r="AG18" s="483">
        <f t="shared" ca="1" si="3"/>
        <v>448000</v>
      </c>
      <c r="AH18" s="483">
        <f t="shared" ca="1" si="3"/>
        <v>448000</v>
      </c>
      <c r="AI18" s="483">
        <f t="shared" ref="AI18:AZ18" ca="1" si="4">$C$7*AI$5*$C$2</f>
        <v>448000</v>
      </c>
      <c r="AJ18" s="483">
        <f t="shared" ca="1" si="4"/>
        <v>448000</v>
      </c>
      <c r="AK18" s="483">
        <f t="shared" ca="1" si="4"/>
        <v>448000</v>
      </c>
      <c r="AL18" s="483">
        <f t="shared" ca="1" si="4"/>
        <v>448000</v>
      </c>
      <c r="AM18" s="483">
        <f t="shared" ca="1" si="4"/>
        <v>448000</v>
      </c>
      <c r="AN18" s="483">
        <f t="shared" ca="1" si="4"/>
        <v>448000</v>
      </c>
      <c r="AO18" s="483">
        <f t="shared" ca="1" si="4"/>
        <v>448000</v>
      </c>
      <c r="AP18" s="483">
        <f t="shared" ca="1" si="4"/>
        <v>448000</v>
      </c>
      <c r="AQ18" s="483">
        <f t="shared" ca="1" si="4"/>
        <v>448000</v>
      </c>
      <c r="AR18" s="483">
        <f t="shared" ca="1" si="4"/>
        <v>448000</v>
      </c>
      <c r="AS18" s="483">
        <f t="shared" ca="1" si="4"/>
        <v>448000</v>
      </c>
      <c r="AT18" s="483">
        <f t="shared" ca="1" si="4"/>
        <v>448000</v>
      </c>
      <c r="AU18" s="483">
        <f t="shared" ca="1" si="4"/>
        <v>448000</v>
      </c>
      <c r="AV18" s="483">
        <f t="shared" ca="1" si="4"/>
        <v>448000</v>
      </c>
      <c r="AW18" s="483">
        <f t="shared" ca="1" si="4"/>
        <v>448000</v>
      </c>
      <c r="AX18" s="483">
        <f t="shared" ca="1" si="4"/>
        <v>448000</v>
      </c>
      <c r="AY18" s="483">
        <f t="shared" ca="1" si="4"/>
        <v>448000</v>
      </c>
      <c r="AZ18" s="484">
        <f t="shared" ca="1" si="4"/>
        <v>448000</v>
      </c>
    </row>
    <row r="19" spans="1:52" hidden="1" outlineLevel="1">
      <c r="A19" s="359" t="s">
        <v>152</v>
      </c>
      <c r="B19" s="354"/>
      <c r="C19" s="485"/>
      <c r="D19" s="486">
        <f t="shared" ref="D19:AI19" ca="1" si="5">$D$7*C$5*$C$2</f>
        <v>1820000</v>
      </c>
      <c r="E19" s="487">
        <f t="shared" ca="1" si="5"/>
        <v>2040325.5895756432</v>
      </c>
      <c r="F19" s="487">
        <f t="shared" ca="1" si="5"/>
        <v>2269838.1790375831</v>
      </c>
      <c r="G19" s="487">
        <f t="shared" ca="1" si="5"/>
        <v>2500763.3200983531</v>
      </c>
      <c r="H19" s="487">
        <f t="shared" ca="1" si="5"/>
        <v>2608621.9327751426</v>
      </c>
      <c r="I19" s="487">
        <f t="shared" ca="1" si="5"/>
        <v>2687178.6275443663</v>
      </c>
      <c r="J19" s="487">
        <f t="shared" ca="1" si="5"/>
        <v>2733748.7410560977</v>
      </c>
      <c r="K19" s="487">
        <f t="shared" ca="1" si="5"/>
        <v>2750496.93775512</v>
      </c>
      <c r="L19" s="487">
        <f t="shared" ca="1" si="5"/>
        <v>2743412.2769480571</v>
      </c>
      <c r="M19" s="487">
        <f t="shared" ca="1" si="5"/>
        <v>2713264.6419314239</v>
      </c>
      <c r="N19" s="487">
        <f t="shared" ca="1" si="5"/>
        <v>2663117.4663300398</v>
      </c>
      <c r="O19" s="487">
        <f t="shared" ca="1" si="5"/>
        <v>2594576.4218210173</v>
      </c>
      <c r="P19" s="487">
        <f t="shared" ca="1" si="5"/>
        <v>2510550.4057621518</v>
      </c>
      <c r="Q19" s="487">
        <f t="shared" ca="1" si="5"/>
        <v>2414596.8115761555</v>
      </c>
      <c r="R19" s="487">
        <f t="shared" ca="1" si="5"/>
        <v>2304177.2029032735</v>
      </c>
      <c r="S19" s="487">
        <f t="shared" ca="1" si="5"/>
        <v>2179952.6175089278</v>
      </c>
      <c r="T19" s="487">
        <f t="shared" ca="1" si="5"/>
        <v>2041799.3276867436</v>
      </c>
      <c r="U19" s="487">
        <f t="shared" ca="1" si="5"/>
        <v>1887325.8437102234</v>
      </c>
      <c r="V19" s="487">
        <f t="shared" ca="1" si="5"/>
        <v>1718056.0310763502</v>
      </c>
      <c r="W19" s="487">
        <f t="shared" ca="1" si="5"/>
        <v>1530427.3604414312</v>
      </c>
      <c r="X19" s="487">
        <f t="shared" ca="1" si="5"/>
        <v>1325965.2770066892</v>
      </c>
      <c r="Y19" s="487">
        <f t="shared" ca="1" si="5"/>
        <v>1101866.2751784842</v>
      </c>
      <c r="Z19" s="487">
        <f t="shared" ca="1" si="5"/>
        <v>857681.41130544501</v>
      </c>
      <c r="AA19" s="487">
        <f t="shared" ca="1" si="5"/>
        <v>728000</v>
      </c>
      <c r="AB19" s="487">
        <f t="shared" ca="1" si="5"/>
        <v>728000</v>
      </c>
      <c r="AC19" s="487">
        <f t="shared" ca="1" si="5"/>
        <v>728000</v>
      </c>
      <c r="AD19" s="487">
        <f t="shared" ca="1" si="5"/>
        <v>728000</v>
      </c>
      <c r="AE19" s="487">
        <f t="shared" ca="1" si="5"/>
        <v>728000</v>
      </c>
      <c r="AF19" s="487">
        <f t="shared" ca="1" si="5"/>
        <v>728000</v>
      </c>
      <c r="AG19" s="487">
        <f t="shared" ca="1" si="5"/>
        <v>728000</v>
      </c>
      <c r="AH19" s="487">
        <f t="shared" ca="1" si="5"/>
        <v>728000</v>
      </c>
      <c r="AI19" s="487">
        <f t="shared" ca="1" si="5"/>
        <v>728000</v>
      </c>
      <c r="AJ19" s="487">
        <f t="shared" ref="AJ19:AZ19" ca="1" si="6">$D$7*AI$5*$C$2</f>
        <v>728000</v>
      </c>
      <c r="AK19" s="487">
        <f t="shared" ca="1" si="6"/>
        <v>728000</v>
      </c>
      <c r="AL19" s="487">
        <f t="shared" ca="1" si="6"/>
        <v>728000</v>
      </c>
      <c r="AM19" s="487">
        <f t="shared" ca="1" si="6"/>
        <v>728000</v>
      </c>
      <c r="AN19" s="487">
        <f t="shared" ca="1" si="6"/>
        <v>728000</v>
      </c>
      <c r="AO19" s="487">
        <f t="shared" ca="1" si="6"/>
        <v>728000</v>
      </c>
      <c r="AP19" s="487">
        <f t="shared" ca="1" si="6"/>
        <v>728000</v>
      </c>
      <c r="AQ19" s="487">
        <f t="shared" ca="1" si="6"/>
        <v>728000</v>
      </c>
      <c r="AR19" s="487">
        <f t="shared" ca="1" si="6"/>
        <v>728000</v>
      </c>
      <c r="AS19" s="487">
        <f t="shared" ca="1" si="6"/>
        <v>728000</v>
      </c>
      <c r="AT19" s="487">
        <f t="shared" ca="1" si="6"/>
        <v>728000</v>
      </c>
      <c r="AU19" s="487">
        <f t="shared" ca="1" si="6"/>
        <v>728000</v>
      </c>
      <c r="AV19" s="487">
        <f t="shared" ca="1" si="6"/>
        <v>728000</v>
      </c>
      <c r="AW19" s="487">
        <f t="shared" ca="1" si="6"/>
        <v>728000</v>
      </c>
      <c r="AX19" s="487">
        <f t="shared" ca="1" si="6"/>
        <v>728000</v>
      </c>
      <c r="AY19" s="487">
        <f t="shared" ca="1" si="6"/>
        <v>728000</v>
      </c>
      <c r="AZ19" s="488">
        <f t="shared" ca="1" si="6"/>
        <v>728000</v>
      </c>
    </row>
    <row r="20" spans="1:52" hidden="1" outlineLevel="1">
      <c r="A20" s="355" t="s">
        <v>153</v>
      </c>
      <c r="C20" s="485"/>
      <c r="D20" s="489"/>
      <c r="E20" s="486">
        <f t="shared" ref="E20:AZ20" ca="1" si="7">$E$7*C$5*$C$2</f>
        <v>2100000</v>
      </c>
      <c r="F20" s="487">
        <f t="shared" ca="1" si="7"/>
        <v>2354221.8341257419</v>
      </c>
      <c r="G20" s="487">
        <f t="shared" ca="1" si="7"/>
        <v>2619044.0527356728</v>
      </c>
      <c r="H20" s="487">
        <f t="shared" ca="1" si="7"/>
        <v>2885496.1385750226</v>
      </c>
      <c r="I20" s="487">
        <f t="shared" ca="1" si="7"/>
        <v>3009948.3839713181</v>
      </c>
      <c r="J20" s="487">
        <f t="shared" ca="1" si="7"/>
        <v>3100590.7240896532</v>
      </c>
      <c r="K20" s="487">
        <f t="shared" ca="1" si="7"/>
        <v>3154325.4704493433</v>
      </c>
      <c r="L20" s="487">
        <f t="shared" ca="1" si="7"/>
        <v>3173650.3127943687</v>
      </c>
      <c r="M20" s="487">
        <f t="shared" ca="1" si="7"/>
        <v>3165475.7041708347</v>
      </c>
      <c r="N20" s="487">
        <f t="shared" ca="1" si="7"/>
        <v>3130689.9714593352</v>
      </c>
      <c r="O20" s="487">
        <f t="shared" ca="1" si="7"/>
        <v>3072827.8457654309</v>
      </c>
      <c r="P20" s="487">
        <f t="shared" ca="1" si="7"/>
        <v>2993742.0251780972</v>
      </c>
      <c r="Q20" s="487">
        <f t="shared" ca="1" si="7"/>
        <v>2896788.9297255594</v>
      </c>
      <c r="R20" s="487">
        <f t="shared" ca="1" si="7"/>
        <v>2786073.2441263339</v>
      </c>
      <c r="S20" s="487">
        <f t="shared" ca="1" si="7"/>
        <v>2658666.003349931</v>
      </c>
      <c r="T20" s="487">
        <f t="shared" ca="1" si="7"/>
        <v>2515329.9432795318</v>
      </c>
      <c r="U20" s="487">
        <f t="shared" ca="1" si="7"/>
        <v>2355922.3011770123</v>
      </c>
      <c r="V20" s="487">
        <f t="shared" ca="1" si="7"/>
        <v>2177683.6658194885</v>
      </c>
      <c r="W20" s="487">
        <f t="shared" ca="1" si="7"/>
        <v>1982372.343549635</v>
      </c>
      <c r="X20" s="487">
        <f t="shared" ca="1" si="7"/>
        <v>1765877.7235862666</v>
      </c>
      <c r="Y20" s="487">
        <f t="shared" ca="1" si="7"/>
        <v>1529959.9350077184</v>
      </c>
      <c r="Z20" s="487">
        <f t="shared" ca="1" si="7"/>
        <v>1271384.1636674816</v>
      </c>
      <c r="AA20" s="487">
        <f t="shared" ca="1" si="7"/>
        <v>989632.39766012877</v>
      </c>
      <c r="AB20" s="487">
        <f t="shared" ca="1" si="7"/>
        <v>840000</v>
      </c>
      <c r="AC20" s="487">
        <f t="shared" ca="1" si="7"/>
        <v>840000</v>
      </c>
      <c r="AD20" s="487">
        <f t="shared" ca="1" si="7"/>
        <v>840000</v>
      </c>
      <c r="AE20" s="487">
        <f t="shared" ca="1" si="7"/>
        <v>840000</v>
      </c>
      <c r="AF20" s="487">
        <f t="shared" ca="1" si="7"/>
        <v>840000</v>
      </c>
      <c r="AG20" s="487">
        <f t="shared" ca="1" si="7"/>
        <v>840000</v>
      </c>
      <c r="AH20" s="487">
        <f t="shared" ca="1" si="7"/>
        <v>840000</v>
      </c>
      <c r="AI20" s="487">
        <f t="shared" ca="1" si="7"/>
        <v>840000</v>
      </c>
      <c r="AJ20" s="487">
        <f t="shared" ca="1" si="7"/>
        <v>840000</v>
      </c>
      <c r="AK20" s="487">
        <f t="shared" ca="1" si="7"/>
        <v>840000</v>
      </c>
      <c r="AL20" s="487">
        <f t="shared" ca="1" si="7"/>
        <v>840000</v>
      </c>
      <c r="AM20" s="487">
        <f t="shared" ca="1" si="7"/>
        <v>840000</v>
      </c>
      <c r="AN20" s="487">
        <f t="shared" ca="1" si="7"/>
        <v>840000</v>
      </c>
      <c r="AO20" s="487">
        <f t="shared" ca="1" si="7"/>
        <v>840000</v>
      </c>
      <c r="AP20" s="487">
        <f t="shared" ca="1" si="7"/>
        <v>840000</v>
      </c>
      <c r="AQ20" s="487">
        <f t="shared" ca="1" si="7"/>
        <v>840000</v>
      </c>
      <c r="AR20" s="487">
        <f t="shared" ca="1" si="7"/>
        <v>840000</v>
      </c>
      <c r="AS20" s="487">
        <f t="shared" ca="1" si="7"/>
        <v>840000</v>
      </c>
      <c r="AT20" s="487">
        <f t="shared" ca="1" si="7"/>
        <v>840000</v>
      </c>
      <c r="AU20" s="487">
        <f t="shared" ca="1" si="7"/>
        <v>840000</v>
      </c>
      <c r="AV20" s="487">
        <f t="shared" ca="1" si="7"/>
        <v>840000</v>
      </c>
      <c r="AW20" s="487">
        <f t="shared" ca="1" si="7"/>
        <v>840000</v>
      </c>
      <c r="AX20" s="487">
        <f t="shared" ca="1" si="7"/>
        <v>840000</v>
      </c>
      <c r="AY20" s="487">
        <f t="shared" ca="1" si="7"/>
        <v>840000</v>
      </c>
      <c r="AZ20" s="488">
        <f t="shared" ca="1" si="7"/>
        <v>840000</v>
      </c>
    </row>
    <row r="21" spans="1:52" hidden="1" outlineLevel="1">
      <c r="A21" s="359" t="s">
        <v>154</v>
      </c>
      <c r="B21" s="354"/>
      <c r="C21" s="485"/>
      <c r="D21" s="489"/>
      <c r="E21" s="489"/>
      <c r="F21" s="486">
        <f t="shared" ref="F21:AZ21" ca="1" si="8">$F$7*C$5*$C$2</f>
        <v>2240000</v>
      </c>
      <c r="G21" s="487">
        <f t="shared" ca="1" si="8"/>
        <v>2511169.9564007916</v>
      </c>
      <c r="H21" s="487">
        <f t="shared" ca="1" si="8"/>
        <v>2793646.9895847174</v>
      </c>
      <c r="I21" s="487">
        <f t="shared" ca="1" si="8"/>
        <v>3077862.5478133578</v>
      </c>
      <c r="J21" s="487">
        <f t="shared" ca="1" si="8"/>
        <v>3210611.6095694061</v>
      </c>
      <c r="K21" s="487">
        <f t="shared" ca="1" si="8"/>
        <v>3307296.7723622969</v>
      </c>
      <c r="L21" s="487">
        <f t="shared" ca="1" si="8"/>
        <v>3364613.8351459666</v>
      </c>
      <c r="M21" s="487">
        <f t="shared" ca="1" si="8"/>
        <v>3385227.0003139935</v>
      </c>
      <c r="N21" s="487">
        <f t="shared" ca="1" si="8"/>
        <v>3376507.4177822242</v>
      </c>
      <c r="O21" s="487">
        <f t="shared" ca="1" si="8"/>
        <v>3339402.6362232906</v>
      </c>
      <c r="P21" s="487">
        <f t="shared" ca="1" si="8"/>
        <v>3277683.0354831261</v>
      </c>
      <c r="Q21" s="487">
        <f t="shared" ca="1" si="8"/>
        <v>3193324.8268566369</v>
      </c>
      <c r="R21" s="487">
        <f t="shared" ca="1" si="8"/>
        <v>3089908.1917072637</v>
      </c>
      <c r="S21" s="487">
        <f t="shared" ca="1" si="8"/>
        <v>2971811.4604014223</v>
      </c>
      <c r="T21" s="487">
        <f t="shared" ca="1" si="8"/>
        <v>2835910.4035732597</v>
      </c>
      <c r="U21" s="487">
        <f t="shared" ca="1" si="8"/>
        <v>2683018.6061648345</v>
      </c>
      <c r="V21" s="487">
        <f t="shared" ca="1" si="8"/>
        <v>2512983.7879221458</v>
      </c>
      <c r="W21" s="487">
        <f t="shared" ca="1" si="8"/>
        <v>2322862.5768741216</v>
      </c>
      <c r="X21" s="487">
        <f t="shared" ca="1" si="8"/>
        <v>2114530.4997862773</v>
      </c>
      <c r="Y21" s="487">
        <f t="shared" ca="1" si="8"/>
        <v>1883602.9051586846</v>
      </c>
      <c r="Z21" s="487">
        <f t="shared" ca="1" si="8"/>
        <v>1631957.2640082326</v>
      </c>
      <c r="AA21" s="487">
        <f t="shared" ca="1" si="8"/>
        <v>1356143.1079119805</v>
      </c>
      <c r="AB21" s="487">
        <f t="shared" ca="1" si="8"/>
        <v>1055607.8908374708</v>
      </c>
      <c r="AC21" s="487">
        <f t="shared" ca="1" si="8"/>
        <v>896000</v>
      </c>
      <c r="AD21" s="487">
        <f t="shared" ca="1" si="8"/>
        <v>896000</v>
      </c>
      <c r="AE21" s="487">
        <f t="shared" ca="1" si="8"/>
        <v>896000</v>
      </c>
      <c r="AF21" s="487">
        <f t="shared" ca="1" si="8"/>
        <v>896000</v>
      </c>
      <c r="AG21" s="487">
        <f t="shared" ca="1" si="8"/>
        <v>896000</v>
      </c>
      <c r="AH21" s="487">
        <f t="shared" ca="1" si="8"/>
        <v>896000</v>
      </c>
      <c r="AI21" s="487">
        <f t="shared" ca="1" si="8"/>
        <v>896000</v>
      </c>
      <c r="AJ21" s="487">
        <f t="shared" ca="1" si="8"/>
        <v>896000</v>
      </c>
      <c r="AK21" s="487">
        <f t="shared" ca="1" si="8"/>
        <v>896000</v>
      </c>
      <c r="AL21" s="487">
        <f t="shared" ca="1" si="8"/>
        <v>896000</v>
      </c>
      <c r="AM21" s="487">
        <f t="shared" ca="1" si="8"/>
        <v>896000</v>
      </c>
      <c r="AN21" s="487">
        <f t="shared" ca="1" si="8"/>
        <v>896000</v>
      </c>
      <c r="AO21" s="487">
        <f t="shared" ca="1" si="8"/>
        <v>896000</v>
      </c>
      <c r="AP21" s="487">
        <f t="shared" ca="1" si="8"/>
        <v>896000</v>
      </c>
      <c r="AQ21" s="487">
        <f t="shared" ca="1" si="8"/>
        <v>896000</v>
      </c>
      <c r="AR21" s="487">
        <f t="shared" ca="1" si="8"/>
        <v>896000</v>
      </c>
      <c r="AS21" s="487">
        <f t="shared" ca="1" si="8"/>
        <v>896000</v>
      </c>
      <c r="AT21" s="487">
        <f t="shared" ca="1" si="8"/>
        <v>896000</v>
      </c>
      <c r="AU21" s="487">
        <f t="shared" ca="1" si="8"/>
        <v>896000</v>
      </c>
      <c r="AV21" s="487">
        <f t="shared" ca="1" si="8"/>
        <v>896000</v>
      </c>
      <c r="AW21" s="487">
        <f t="shared" ca="1" si="8"/>
        <v>896000</v>
      </c>
      <c r="AX21" s="487">
        <f t="shared" ca="1" si="8"/>
        <v>896000</v>
      </c>
      <c r="AY21" s="487">
        <f t="shared" ca="1" si="8"/>
        <v>896000</v>
      </c>
      <c r="AZ21" s="488">
        <f t="shared" ca="1" si="8"/>
        <v>896000</v>
      </c>
    </row>
    <row r="22" spans="1:52" hidden="1" outlineLevel="1">
      <c r="A22" s="355" t="s">
        <v>155</v>
      </c>
      <c r="C22" s="485"/>
      <c r="D22" s="489"/>
      <c r="E22" s="489"/>
      <c r="F22" s="489"/>
      <c r="G22" s="486">
        <f t="shared" ref="G22:AZ22" ca="1" si="9">$G$7*C$5*$C$2</f>
        <v>2100000</v>
      </c>
      <c r="H22" s="487">
        <f t="shared" ca="1" si="9"/>
        <v>2354221.8341257419</v>
      </c>
      <c r="I22" s="487">
        <f t="shared" ca="1" si="9"/>
        <v>2619044.0527356728</v>
      </c>
      <c r="J22" s="487">
        <f t="shared" ca="1" si="9"/>
        <v>2885496.1385750226</v>
      </c>
      <c r="K22" s="487">
        <f t="shared" ca="1" si="9"/>
        <v>3009948.3839713181</v>
      </c>
      <c r="L22" s="487">
        <f t="shared" ca="1" si="9"/>
        <v>3100590.7240896532</v>
      </c>
      <c r="M22" s="487">
        <f t="shared" ca="1" si="9"/>
        <v>3154325.4704493433</v>
      </c>
      <c r="N22" s="487">
        <f t="shared" ca="1" si="9"/>
        <v>3173650.3127943687</v>
      </c>
      <c r="O22" s="487">
        <f t="shared" ca="1" si="9"/>
        <v>3165475.7041708347</v>
      </c>
      <c r="P22" s="487">
        <f t="shared" ca="1" si="9"/>
        <v>3130689.9714593352</v>
      </c>
      <c r="Q22" s="487">
        <f t="shared" ca="1" si="9"/>
        <v>3072827.8457654309</v>
      </c>
      <c r="R22" s="487">
        <f t="shared" ca="1" si="9"/>
        <v>2993742.0251780972</v>
      </c>
      <c r="S22" s="487">
        <f t="shared" ca="1" si="9"/>
        <v>2896788.9297255594</v>
      </c>
      <c r="T22" s="487">
        <f t="shared" ca="1" si="9"/>
        <v>2786073.2441263339</v>
      </c>
      <c r="U22" s="487">
        <f t="shared" ca="1" si="9"/>
        <v>2658666.003349931</v>
      </c>
      <c r="V22" s="487">
        <f t="shared" ca="1" si="9"/>
        <v>2515329.9432795318</v>
      </c>
      <c r="W22" s="487">
        <f t="shared" ca="1" si="9"/>
        <v>2355922.3011770123</v>
      </c>
      <c r="X22" s="487">
        <f t="shared" ca="1" si="9"/>
        <v>2177683.6658194885</v>
      </c>
      <c r="Y22" s="487">
        <f t="shared" ca="1" si="9"/>
        <v>1982372.343549635</v>
      </c>
      <c r="Z22" s="487">
        <f t="shared" ca="1" si="9"/>
        <v>1765877.7235862666</v>
      </c>
      <c r="AA22" s="487">
        <f t="shared" ca="1" si="9"/>
        <v>1529959.9350077184</v>
      </c>
      <c r="AB22" s="487">
        <f t="shared" ca="1" si="9"/>
        <v>1271384.1636674816</v>
      </c>
      <c r="AC22" s="487">
        <f t="shared" ca="1" si="9"/>
        <v>989632.39766012877</v>
      </c>
      <c r="AD22" s="487">
        <f t="shared" ca="1" si="9"/>
        <v>840000</v>
      </c>
      <c r="AE22" s="487">
        <f t="shared" ca="1" si="9"/>
        <v>840000</v>
      </c>
      <c r="AF22" s="487">
        <f t="shared" ca="1" si="9"/>
        <v>840000</v>
      </c>
      <c r="AG22" s="487">
        <f t="shared" ca="1" si="9"/>
        <v>840000</v>
      </c>
      <c r="AH22" s="487">
        <f t="shared" ca="1" si="9"/>
        <v>840000</v>
      </c>
      <c r="AI22" s="487">
        <f t="shared" ca="1" si="9"/>
        <v>840000</v>
      </c>
      <c r="AJ22" s="487">
        <f t="shared" ca="1" si="9"/>
        <v>840000</v>
      </c>
      <c r="AK22" s="487">
        <f t="shared" ca="1" si="9"/>
        <v>840000</v>
      </c>
      <c r="AL22" s="487">
        <f t="shared" ca="1" si="9"/>
        <v>840000</v>
      </c>
      <c r="AM22" s="487">
        <f t="shared" ca="1" si="9"/>
        <v>840000</v>
      </c>
      <c r="AN22" s="487">
        <f t="shared" ca="1" si="9"/>
        <v>840000</v>
      </c>
      <c r="AO22" s="487">
        <f t="shared" ca="1" si="9"/>
        <v>840000</v>
      </c>
      <c r="AP22" s="487">
        <f t="shared" ca="1" si="9"/>
        <v>840000</v>
      </c>
      <c r="AQ22" s="487">
        <f t="shared" ca="1" si="9"/>
        <v>840000</v>
      </c>
      <c r="AR22" s="487">
        <f t="shared" ca="1" si="9"/>
        <v>840000</v>
      </c>
      <c r="AS22" s="487">
        <f t="shared" ca="1" si="9"/>
        <v>840000</v>
      </c>
      <c r="AT22" s="487">
        <f t="shared" ca="1" si="9"/>
        <v>840000</v>
      </c>
      <c r="AU22" s="487">
        <f t="shared" ca="1" si="9"/>
        <v>840000</v>
      </c>
      <c r="AV22" s="487">
        <f t="shared" ca="1" si="9"/>
        <v>840000</v>
      </c>
      <c r="AW22" s="487">
        <f t="shared" ca="1" si="9"/>
        <v>840000</v>
      </c>
      <c r="AX22" s="487">
        <f t="shared" ca="1" si="9"/>
        <v>840000</v>
      </c>
      <c r="AY22" s="487">
        <f t="shared" ca="1" si="9"/>
        <v>840000</v>
      </c>
      <c r="AZ22" s="488">
        <f t="shared" ca="1" si="9"/>
        <v>840000</v>
      </c>
    </row>
    <row r="23" spans="1:52" hidden="1" outlineLevel="1">
      <c r="A23" s="359" t="s">
        <v>156</v>
      </c>
      <c r="B23" s="354"/>
      <c r="C23" s="485"/>
      <c r="D23" s="489"/>
      <c r="E23" s="489"/>
      <c r="F23" s="489"/>
      <c r="G23" s="489"/>
      <c r="H23" s="486">
        <f t="shared" ref="H23:AZ23" ca="1" si="10">$H$7*C$5*$C$2</f>
        <v>1820000</v>
      </c>
      <c r="I23" s="487">
        <f t="shared" ca="1" si="10"/>
        <v>2040325.5895756432</v>
      </c>
      <c r="J23" s="487">
        <f t="shared" ca="1" si="10"/>
        <v>2269838.1790375831</v>
      </c>
      <c r="K23" s="487">
        <f t="shared" ca="1" si="10"/>
        <v>2500763.3200983531</v>
      </c>
      <c r="L23" s="487">
        <f t="shared" ca="1" si="10"/>
        <v>2608621.9327751426</v>
      </c>
      <c r="M23" s="487">
        <f t="shared" ca="1" si="10"/>
        <v>2687178.6275443663</v>
      </c>
      <c r="N23" s="487">
        <f t="shared" ca="1" si="10"/>
        <v>2733748.7410560977</v>
      </c>
      <c r="O23" s="487">
        <f t="shared" ca="1" si="10"/>
        <v>2750496.93775512</v>
      </c>
      <c r="P23" s="487">
        <f t="shared" ca="1" si="10"/>
        <v>2743412.2769480571</v>
      </c>
      <c r="Q23" s="487">
        <f t="shared" ca="1" si="10"/>
        <v>2713264.6419314239</v>
      </c>
      <c r="R23" s="487">
        <f t="shared" ca="1" si="10"/>
        <v>2663117.4663300398</v>
      </c>
      <c r="S23" s="487">
        <f t="shared" ca="1" si="10"/>
        <v>2594576.4218210173</v>
      </c>
      <c r="T23" s="487">
        <f t="shared" ca="1" si="10"/>
        <v>2510550.4057621518</v>
      </c>
      <c r="U23" s="487">
        <f t="shared" ca="1" si="10"/>
        <v>2414596.8115761555</v>
      </c>
      <c r="V23" s="487">
        <f t="shared" ca="1" si="10"/>
        <v>2304177.2029032735</v>
      </c>
      <c r="W23" s="487">
        <f t="shared" ca="1" si="10"/>
        <v>2179952.6175089278</v>
      </c>
      <c r="X23" s="487">
        <f t="shared" ca="1" si="10"/>
        <v>2041799.3276867436</v>
      </c>
      <c r="Y23" s="487">
        <f t="shared" ca="1" si="10"/>
        <v>1887325.8437102234</v>
      </c>
      <c r="Z23" s="487">
        <f t="shared" ca="1" si="10"/>
        <v>1718056.0310763502</v>
      </c>
      <c r="AA23" s="487">
        <f t="shared" ca="1" si="10"/>
        <v>1530427.3604414312</v>
      </c>
      <c r="AB23" s="487">
        <f t="shared" ca="1" si="10"/>
        <v>1325965.2770066892</v>
      </c>
      <c r="AC23" s="487">
        <f t="shared" ca="1" si="10"/>
        <v>1101866.2751784842</v>
      </c>
      <c r="AD23" s="487">
        <f t="shared" ca="1" si="10"/>
        <v>857681.41130544501</v>
      </c>
      <c r="AE23" s="487">
        <f t="shared" ca="1" si="10"/>
        <v>728000</v>
      </c>
      <c r="AF23" s="487">
        <f t="shared" ca="1" si="10"/>
        <v>728000</v>
      </c>
      <c r="AG23" s="487">
        <f t="shared" ca="1" si="10"/>
        <v>728000</v>
      </c>
      <c r="AH23" s="487">
        <f t="shared" ca="1" si="10"/>
        <v>728000</v>
      </c>
      <c r="AI23" s="487">
        <f t="shared" ca="1" si="10"/>
        <v>728000</v>
      </c>
      <c r="AJ23" s="487">
        <f t="shared" ca="1" si="10"/>
        <v>728000</v>
      </c>
      <c r="AK23" s="487">
        <f t="shared" ca="1" si="10"/>
        <v>728000</v>
      </c>
      <c r="AL23" s="487">
        <f t="shared" ca="1" si="10"/>
        <v>728000</v>
      </c>
      <c r="AM23" s="487">
        <f t="shared" ca="1" si="10"/>
        <v>728000</v>
      </c>
      <c r="AN23" s="487">
        <f t="shared" ca="1" si="10"/>
        <v>728000</v>
      </c>
      <c r="AO23" s="487">
        <f t="shared" ca="1" si="10"/>
        <v>728000</v>
      </c>
      <c r="AP23" s="487">
        <f t="shared" ca="1" si="10"/>
        <v>728000</v>
      </c>
      <c r="AQ23" s="487">
        <f t="shared" ca="1" si="10"/>
        <v>728000</v>
      </c>
      <c r="AR23" s="487">
        <f t="shared" ca="1" si="10"/>
        <v>728000</v>
      </c>
      <c r="AS23" s="487">
        <f t="shared" ca="1" si="10"/>
        <v>728000</v>
      </c>
      <c r="AT23" s="487">
        <f t="shared" ca="1" si="10"/>
        <v>728000</v>
      </c>
      <c r="AU23" s="487">
        <f t="shared" ca="1" si="10"/>
        <v>728000</v>
      </c>
      <c r="AV23" s="487">
        <f t="shared" ca="1" si="10"/>
        <v>728000</v>
      </c>
      <c r="AW23" s="487">
        <f t="shared" ca="1" si="10"/>
        <v>728000</v>
      </c>
      <c r="AX23" s="487">
        <f t="shared" ca="1" si="10"/>
        <v>728000</v>
      </c>
      <c r="AY23" s="487">
        <f t="shared" ca="1" si="10"/>
        <v>728000</v>
      </c>
      <c r="AZ23" s="488">
        <f t="shared" ca="1" si="10"/>
        <v>728000</v>
      </c>
    </row>
    <row r="24" spans="1:52" hidden="1" outlineLevel="1">
      <c r="A24" s="355" t="s">
        <v>157</v>
      </c>
      <c r="C24" s="485"/>
      <c r="D24" s="489"/>
      <c r="E24" s="489"/>
      <c r="F24" s="489"/>
      <c r="G24" s="489"/>
      <c r="H24" s="489"/>
      <c r="I24" s="486">
        <f t="shared" ref="I24:AZ24" ca="1" si="11">$I$7*C$5*$C$2</f>
        <v>1260000</v>
      </c>
      <c r="J24" s="487">
        <f t="shared" ca="1" si="11"/>
        <v>1412533.1004754454</v>
      </c>
      <c r="K24" s="487">
        <f t="shared" ca="1" si="11"/>
        <v>1571426.4316414036</v>
      </c>
      <c r="L24" s="487">
        <f t="shared" ca="1" si="11"/>
        <v>1731297.6831450136</v>
      </c>
      <c r="M24" s="487">
        <f t="shared" ca="1" si="11"/>
        <v>1805969.0303827911</v>
      </c>
      <c r="N24" s="487">
        <f t="shared" ca="1" si="11"/>
        <v>1860354.4344537917</v>
      </c>
      <c r="O24" s="487">
        <f t="shared" ca="1" si="11"/>
        <v>1892595.2822696061</v>
      </c>
      <c r="P24" s="487">
        <f t="shared" ca="1" si="11"/>
        <v>1904190.1876766214</v>
      </c>
      <c r="Q24" s="487">
        <f t="shared" ca="1" si="11"/>
        <v>1899285.4225025009</v>
      </c>
      <c r="R24" s="487">
        <f t="shared" ca="1" si="11"/>
        <v>1878413.9828756009</v>
      </c>
      <c r="S24" s="487">
        <f t="shared" ca="1" si="11"/>
        <v>1843696.7074592581</v>
      </c>
      <c r="T24" s="487">
        <f t="shared" ca="1" si="11"/>
        <v>1796245.2151068584</v>
      </c>
      <c r="U24" s="487">
        <f t="shared" ca="1" si="11"/>
        <v>1738073.3578353357</v>
      </c>
      <c r="V24" s="487">
        <f t="shared" ca="1" si="11"/>
        <v>1671643.9464758001</v>
      </c>
      <c r="W24" s="487">
        <f t="shared" ca="1" si="11"/>
        <v>1595199.6020099584</v>
      </c>
      <c r="X24" s="487">
        <f t="shared" ca="1" si="11"/>
        <v>1509197.9659677192</v>
      </c>
      <c r="Y24" s="487">
        <f t="shared" ca="1" si="11"/>
        <v>1413553.3807062071</v>
      </c>
      <c r="Z24" s="487">
        <f t="shared" ca="1" si="11"/>
        <v>1306610.1994916932</v>
      </c>
      <c r="AA24" s="487">
        <f t="shared" ca="1" si="11"/>
        <v>1189423.4061297809</v>
      </c>
      <c r="AB24" s="487">
        <f t="shared" ca="1" si="11"/>
        <v>1059526.63415176</v>
      </c>
      <c r="AC24" s="487">
        <f t="shared" ca="1" si="11"/>
        <v>917975.96100463101</v>
      </c>
      <c r="AD24" s="487">
        <f t="shared" ca="1" si="11"/>
        <v>762830.49820048898</v>
      </c>
      <c r="AE24" s="487">
        <f t="shared" ca="1" si="11"/>
        <v>593779.43859607726</v>
      </c>
      <c r="AF24" s="487">
        <f t="shared" ca="1" si="11"/>
        <v>504000</v>
      </c>
      <c r="AG24" s="487">
        <f t="shared" ca="1" si="11"/>
        <v>504000</v>
      </c>
      <c r="AH24" s="487">
        <f t="shared" ca="1" si="11"/>
        <v>504000</v>
      </c>
      <c r="AI24" s="487">
        <f t="shared" ca="1" si="11"/>
        <v>504000</v>
      </c>
      <c r="AJ24" s="487">
        <f t="shared" ca="1" si="11"/>
        <v>504000</v>
      </c>
      <c r="AK24" s="487">
        <f t="shared" ca="1" si="11"/>
        <v>504000</v>
      </c>
      <c r="AL24" s="487">
        <f t="shared" ca="1" si="11"/>
        <v>504000</v>
      </c>
      <c r="AM24" s="487">
        <f t="shared" ca="1" si="11"/>
        <v>504000</v>
      </c>
      <c r="AN24" s="487">
        <f t="shared" ca="1" si="11"/>
        <v>504000</v>
      </c>
      <c r="AO24" s="487">
        <f t="shared" ca="1" si="11"/>
        <v>504000</v>
      </c>
      <c r="AP24" s="487">
        <f t="shared" ca="1" si="11"/>
        <v>504000</v>
      </c>
      <c r="AQ24" s="487">
        <f t="shared" ca="1" si="11"/>
        <v>504000</v>
      </c>
      <c r="AR24" s="487">
        <f t="shared" ca="1" si="11"/>
        <v>504000</v>
      </c>
      <c r="AS24" s="487">
        <f t="shared" ca="1" si="11"/>
        <v>504000</v>
      </c>
      <c r="AT24" s="487">
        <f t="shared" ca="1" si="11"/>
        <v>504000</v>
      </c>
      <c r="AU24" s="487">
        <f t="shared" ca="1" si="11"/>
        <v>504000</v>
      </c>
      <c r="AV24" s="487">
        <f t="shared" ca="1" si="11"/>
        <v>504000</v>
      </c>
      <c r="AW24" s="487">
        <f t="shared" ca="1" si="11"/>
        <v>504000</v>
      </c>
      <c r="AX24" s="487">
        <f t="shared" ca="1" si="11"/>
        <v>504000</v>
      </c>
      <c r="AY24" s="487">
        <f t="shared" ca="1" si="11"/>
        <v>504000</v>
      </c>
      <c r="AZ24" s="488">
        <f t="shared" ca="1" si="11"/>
        <v>504000</v>
      </c>
    </row>
    <row r="25" spans="1:52" hidden="1" outlineLevel="1">
      <c r="A25" s="359" t="s">
        <v>158</v>
      </c>
      <c r="B25" s="354"/>
      <c r="C25" s="485"/>
      <c r="D25" s="489"/>
      <c r="E25" s="489"/>
      <c r="F25" s="489"/>
      <c r="G25" s="489"/>
      <c r="H25" s="489"/>
      <c r="I25" s="489"/>
      <c r="J25" s="486">
        <f t="shared" ref="J25:AZ25" ca="1" si="12">$J$7*C$5*$C$2</f>
        <v>1120000</v>
      </c>
      <c r="K25" s="487">
        <f t="shared" ca="1" si="12"/>
        <v>1255584.9782003958</v>
      </c>
      <c r="L25" s="487">
        <f t="shared" ca="1" si="12"/>
        <v>1396823.4947923587</v>
      </c>
      <c r="M25" s="487">
        <f t="shared" ca="1" si="12"/>
        <v>1538931.2739066789</v>
      </c>
      <c r="N25" s="487">
        <f t="shared" ca="1" si="12"/>
        <v>1605305.8047847031</v>
      </c>
      <c r="O25" s="487">
        <f t="shared" ca="1" si="12"/>
        <v>1653648.3861811485</v>
      </c>
      <c r="P25" s="487">
        <f t="shared" ca="1" si="12"/>
        <v>1682306.9175729833</v>
      </c>
      <c r="Q25" s="487">
        <f t="shared" ca="1" si="12"/>
        <v>1692613.5001569968</v>
      </c>
      <c r="R25" s="487">
        <f t="shared" ca="1" si="12"/>
        <v>1688253.7088911121</v>
      </c>
      <c r="S25" s="487">
        <f t="shared" ca="1" si="12"/>
        <v>1669701.3181116453</v>
      </c>
      <c r="T25" s="487">
        <f t="shared" ca="1" si="12"/>
        <v>1638841.517741563</v>
      </c>
      <c r="U25" s="487">
        <f t="shared" ca="1" si="12"/>
        <v>1596662.4134283185</v>
      </c>
      <c r="V25" s="487">
        <f t="shared" ca="1" si="12"/>
        <v>1544954.0958536319</v>
      </c>
      <c r="W25" s="487">
        <f t="shared" ca="1" si="12"/>
        <v>1485905.7302007112</v>
      </c>
      <c r="X25" s="487">
        <f t="shared" ca="1" si="12"/>
        <v>1417955.2017866299</v>
      </c>
      <c r="Y25" s="487">
        <f t="shared" ca="1" si="12"/>
        <v>1341509.3030824172</v>
      </c>
      <c r="Z25" s="487">
        <f t="shared" ca="1" si="12"/>
        <v>1256491.8939610729</v>
      </c>
      <c r="AA25" s="487">
        <f t="shared" ca="1" si="12"/>
        <v>1161431.2884370608</v>
      </c>
      <c r="AB25" s="487">
        <f t="shared" ca="1" si="12"/>
        <v>1057265.2498931387</v>
      </c>
      <c r="AC25" s="487">
        <f t="shared" ca="1" si="12"/>
        <v>941801.45257934229</v>
      </c>
      <c r="AD25" s="487">
        <f t="shared" ca="1" si="12"/>
        <v>815978.63200411631</v>
      </c>
      <c r="AE25" s="487">
        <f t="shared" ca="1" si="12"/>
        <v>678071.55395599024</v>
      </c>
      <c r="AF25" s="487">
        <f t="shared" ca="1" si="12"/>
        <v>527803.94541873538</v>
      </c>
      <c r="AG25" s="487">
        <f t="shared" ca="1" si="12"/>
        <v>448000</v>
      </c>
      <c r="AH25" s="487">
        <f t="shared" ca="1" si="12"/>
        <v>448000</v>
      </c>
      <c r="AI25" s="487">
        <f t="shared" ca="1" si="12"/>
        <v>448000</v>
      </c>
      <c r="AJ25" s="487">
        <f t="shared" ca="1" si="12"/>
        <v>448000</v>
      </c>
      <c r="AK25" s="487">
        <f t="shared" ca="1" si="12"/>
        <v>448000</v>
      </c>
      <c r="AL25" s="487">
        <f t="shared" ca="1" si="12"/>
        <v>448000</v>
      </c>
      <c r="AM25" s="487">
        <f t="shared" ca="1" si="12"/>
        <v>448000</v>
      </c>
      <c r="AN25" s="487">
        <f t="shared" ca="1" si="12"/>
        <v>448000</v>
      </c>
      <c r="AO25" s="487">
        <f t="shared" ca="1" si="12"/>
        <v>448000</v>
      </c>
      <c r="AP25" s="487">
        <f t="shared" ca="1" si="12"/>
        <v>448000</v>
      </c>
      <c r="AQ25" s="487">
        <f t="shared" ca="1" si="12"/>
        <v>448000</v>
      </c>
      <c r="AR25" s="487">
        <f t="shared" ca="1" si="12"/>
        <v>448000</v>
      </c>
      <c r="AS25" s="487">
        <f t="shared" ca="1" si="12"/>
        <v>448000</v>
      </c>
      <c r="AT25" s="487">
        <f t="shared" ca="1" si="12"/>
        <v>448000</v>
      </c>
      <c r="AU25" s="487">
        <f t="shared" ca="1" si="12"/>
        <v>448000</v>
      </c>
      <c r="AV25" s="487">
        <f t="shared" ca="1" si="12"/>
        <v>448000</v>
      </c>
      <c r="AW25" s="487">
        <f t="shared" ca="1" si="12"/>
        <v>448000</v>
      </c>
      <c r="AX25" s="487">
        <f t="shared" ca="1" si="12"/>
        <v>448000</v>
      </c>
      <c r="AY25" s="487">
        <f t="shared" ca="1" si="12"/>
        <v>448000</v>
      </c>
      <c r="AZ25" s="488">
        <f t="shared" ca="1" si="12"/>
        <v>448000</v>
      </c>
    </row>
    <row r="26" spans="1:52" hidden="1" outlineLevel="1">
      <c r="A26" s="355" t="s">
        <v>159</v>
      </c>
      <c r="C26" s="485"/>
      <c r="D26" s="489"/>
      <c r="E26" s="489"/>
      <c r="F26" s="489"/>
      <c r="G26" s="489"/>
      <c r="H26" s="489"/>
      <c r="I26" s="489"/>
      <c r="J26" s="489"/>
      <c r="K26" s="486">
        <f t="shared" ref="K26:AZ26" ca="1" si="13">$K$7*C$5*$C$2</f>
        <v>420000</v>
      </c>
      <c r="L26" s="487">
        <f t="shared" ca="1" si="13"/>
        <v>470844.36682514841</v>
      </c>
      <c r="M26" s="487">
        <f t="shared" ca="1" si="13"/>
        <v>523808.81054713449</v>
      </c>
      <c r="N26" s="487">
        <f t="shared" ca="1" si="13"/>
        <v>577099.22771500458</v>
      </c>
      <c r="O26" s="487">
        <f t="shared" ca="1" si="13"/>
        <v>601989.67679426377</v>
      </c>
      <c r="P26" s="487">
        <f t="shared" ca="1" si="13"/>
        <v>620118.14481793065</v>
      </c>
      <c r="Q26" s="487">
        <f t="shared" ca="1" si="13"/>
        <v>630865.09408986871</v>
      </c>
      <c r="R26" s="487">
        <f t="shared" ca="1" si="13"/>
        <v>634730.06255887379</v>
      </c>
      <c r="S26" s="487">
        <f t="shared" ca="1" si="13"/>
        <v>633095.14083416702</v>
      </c>
      <c r="T26" s="487">
        <f t="shared" ca="1" si="13"/>
        <v>626137.99429186701</v>
      </c>
      <c r="U26" s="487">
        <f t="shared" ca="1" si="13"/>
        <v>614565.56915308617</v>
      </c>
      <c r="V26" s="487">
        <f t="shared" ca="1" si="13"/>
        <v>598748.40503561939</v>
      </c>
      <c r="W26" s="487">
        <f t="shared" ca="1" si="13"/>
        <v>579357.785945112</v>
      </c>
      <c r="X26" s="487">
        <f t="shared" ca="1" si="13"/>
        <v>557214.64882526675</v>
      </c>
      <c r="Y26" s="487">
        <f t="shared" ca="1" si="13"/>
        <v>531733.2006699862</v>
      </c>
      <c r="Z26" s="487">
        <f t="shared" ca="1" si="13"/>
        <v>503065.98865590646</v>
      </c>
      <c r="AA26" s="487">
        <f t="shared" ca="1" si="13"/>
        <v>471184.4602354024</v>
      </c>
      <c r="AB26" s="487">
        <f t="shared" ca="1" si="13"/>
        <v>435536.7331638977</v>
      </c>
      <c r="AC26" s="487">
        <f t="shared" ca="1" si="13"/>
        <v>396474.46870992699</v>
      </c>
      <c r="AD26" s="487">
        <f t="shared" ca="1" si="13"/>
        <v>353175.5447172533</v>
      </c>
      <c r="AE26" s="487">
        <f t="shared" ca="1" si="13"/>
        <v>305991.98700154363</v>
      </c>
      <c r="AF26" s="487">
        <f t="shared" ca="1" si="13"/>
        <v>254276.83273349635</v>
      </c>
      <c r="AG26" s="487">
        <f t="shared" ca="1" si="13"/>
        <v>197926.47953202575</v>
      </c>
      <c r="AH26" s="487">
        <f t="shared" ca="1" si="13"/>
        <v>168000</v>
      </c>
      <c r="AI26" s="487">
        <f t="shared" ca="1" si="13"/>
        <v>168000</v>
      </c>
      <c r="AJ26" s="487">
        <f t="shared" ca="1" si="13"/>
        <v>168000</v>
      </c>
      <c r="AK26" s="487">
        <f t="shared" ca="1" si="13"/>
        <v>168000</v>
      </c>
      <c r="AL26" s="487">
        <f t="shared" ca="1" si="13"/>
        <v>168000</v>
      </c>
      <c r="AM26" s="487">
        <f t="shared" ca="1" si="13"/>
        <v>168000</v>
      </c>
      <c r="AN26" s="487">
        <f t="shared" ca="1" si="13"/>
        <v>168000</v>
      </c>
      <c r="AO26" s="487">
        <f t="shared" ca="1" si="13"/>
        <v>168000</v>
      </c>
      <c r="AP26" s="487">
        <f t="shared" ca="1" si="13"/>
        <v>168000</v>
      </c>
      <c r="AQ26" s="487">
        <f t="shared" ca="1" si="13"/>
        <v>168000</v>
      </c>
      <c r="AR26" s="487">
        <f t="shared" ca="1" si="13"/>
        <v>168000</v>
      </c>
      <c r="AS26" s="487">
        <f t="shared" ca="1" si="13"/>
        <v>168000</v>
      </c>
      <c r="AT26" s="487">
        <f t="shared" ca="1" si="13"/>
        <v>168000</v>
      </c>
      <c r="AU26" s="487">
        <f t="shared" ca="1" si="13"/>
        <v>168000</v>
      </c>
      <c r="AV26" s="487">
        <f t="shared" ca="1" si="13"/>
        <v>168000</v>
      </c>
      <c r="AW26" s="487">
        <f t="shared" ca="1" si="13"/>
        <v>168000</v>
      </c>
      <c r="AX26" s="487">
        <f t="shared" ca="1" si="13"/>
        <v>168000</v>
      </c>
      <c r="AY26" s="487">
        <f t="shared" ca="1" si="13"/>
        <v>168000</v>
      </c>
      <c r="AZ26" s="488">
        <f t="shared" ca="1" si="13"/>
        <v>168000</v>
      </c>
    </row>
    <row r="27" spans="1:52" hidden="1" outlineLevel="1">
      <c r="A27" s="359" t="s">
        <v>160</v>
      </c>
      <c r="B27" s="354"/>
      <c r="C27" s="490"/>
      <c r="D27" s="491"/>
      <c r="E27" s="491"/>
      <c r="F27" s="491"/>
      <c r="G27" s="491"/>
      <c r="H27" s="491"/>
      <c r="I27" s="491"/>
      <c r="J27" s="491"/>
      <c r="K27" s="491"/>
      <c r="L27" s="492">
        <f t="shared" ref="L27:AZ27" ca="1" si="14">$L$7*C$5*$C$2</f>
        <v>0</v>
      </c>
      <c r="M27" s="493">
        <f t="shared" ca="1" si="14"/>
        <v>0</v>
      </c>
      <c r="N27" s="493">
        <f t="shared" ca="1" si="14"/>
        <v>0</v>
      </c>
      <c r="O27" s="493">
        <f t="shared" ca="1" si="14"/>
        <v>0</v>
      </c>
      <c r="P27" s="493">
        <f t="shared" ca="1" si="14"/>
        <v>0</v>
      </c>
      <c r="Q27" s="493">
        <f t="shared" ca="1" si="14"/>
        <v>0</v>
      </c>
      <c r="R27" s="493">
        <f t="shared" ca="1" si="14"/>
        <v>0</v>
      </c>
      <c r="S27" s="493">
        <f t="shared" ca="1" si="14"/>
        <v>0</v>
      </c>
      <c r="T27" s="493">
        <f t="shared" ca="1" si="14"/>
        <v>0</v>
      </c>
      <c r="U27" s="493">
        <f t="shared" ca="1" si="14"/>
        <v>0</v>
      </c>
      <c r="V27" s="493">
        <f t="shared" ca="1" si="14"/>
        <v>0</v>
      </c>
      <c r="W27" s="493">
        <f t="shared" ca="1" si="14"/>
        <v>0</v>
      </c>
      <c r="X27" s="493">
        <f t="shared" ca="1" si="14"/>
        <v>0</v>
      </c>
      <c r="Y27" s="493">
        <f t="shared" ca="1" si="14"/>
        <v>0</v>
      </c>
      <c r="Z27" s="493">
        <f t="shared" ca="1" si="14"/>
        <v>0</v>
      </c>
      <c r="AA27" s="493">
        <f t="shared" ca="1" si="14"/>
        <v>0</v>
      </c>
      <c r="AB27" s="493">
        <f t="shared" ca="1" si="14"/>
        <v>0</v>
      </c>
      <c r="AC27" s="493">
        <f t="shared" ca="1" si="14"/>
        <v>0</v>
      </c>
      <c r="AD27" s="493">
        <f t="shared" ca="1" si="14"/>
        <v>0</v>
      </c>
      <c r="AE27" s="493">
        <f t="shared" ca="1" si="14"/>
        <v>0</v>
      </c>
      <c r="AF27" s="493">
        <f t="shared" ca="1" si="14"/>
        <v>0</v>
      </c>
      <c r="AG27" s="493">
        <f t="shared" ca="1" si="14"/>
        <v>0</v>
      </c>
      <c r="AH27" s="493">
        <f t="shared" ca="1" si="14"/>
        <v>0</v>
      </c>
      <c r="AI27" s="493">
        <f t="shared" ca="1" si="14"/>
        <v>0</v>
      </c>
      <c r="AJ27" s="493">
        <f t="shared" ca="1" si="14"/>
        <v>0</v>
      </c>
      <c r="AK27" s="493">
        <f t="shared" ca="1" si="14"/>
        <v>0</v>
      </c>
      <c r="AL27" s="493">
        <f t="shared" ca="1" si="14"/>
        <v>0</v>
      </c>
      <c r="AM27" s="493">
        <f t="shared" ca="1" si="14"/>
        <v>0</v>
      </c>
      <c r="AN27" s="493">
        <f t="shared" ca="1" si="14"/>
        <v>0</v>
      </c>
      <c r="AO27" s="493">
        <f t="shared" ca="1" si="14"/>
        <v>0</v>
      </c>
      <c r="AP27" s="493">
        <f t="shared" ca="1" si="14"/>
        <v>0</v>
      </c>
      <c r="AQ27" s="493">
        <f t="shared" ca="1" si="14"/>
        <v>0</v>
      </c>
      <c r="AR27" s="493">
        <f t="shared" ca="1" si="14"/>
        <v>0</v>
      </c>
      <c r="AS27" s="493">
        <f t="shared" ca="1" si="14"/>
        <v>0</v>
      </c>
      <c r="AT27" s="493">
        <f t="shared" ca="1" si="14"/>
        <v>0</v>
      </c>
      <c r="AU27" s="493">
        <f t="shared" ca="1" si="14"/>
        <v>0</v>
      </c>
      <c r="AV27" s="493">
        <f t="shared" ca="1" si="14"/>
        <v>0</v>
      </c>
      <c r="AW27" s="493">
        <f t="shared" ca="1" si="14"/>
        <v>0</v>
      </c>
      <c r="AX27" s="493">
        <f t="shared" ca="1" si="14"/>
        <v>0</v>
      </c>
      <c r="AY27" s="493">
        <f t="shared" ca="1" si="14"/>
        <v>0</v>
      </c>
      <c r="AZ27" s="494">
        <f t="shared" ca="1" si="14"/>
        <v>0</v>
      </c>
    </row>
    <row r="28" spans="1:52" hidden="1" outlineLevel="1">
      <c r="A28" s="359"/>
      <c r="B28" s="354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1"/>
      <c r="X28" s="481"/>
      <c r="Y28" s="481"/>
      <c r="Z28" s="481"/>
      <c r="AA28" s="481"/>
      <c r="AB28" s="481"/>
      <c r="AC28" s="481"/>
      <c r="AD28" s="481"/>
      <c r="AE28" s="481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  <c r="AT28" s="480"/>
      <c r="AU28" s="480"/>
      <c r="AV28" s="480"/>
      <c r="AW28" s="480"/>
      <c r="AX28" s="480"/>
      <c r="AY28" s="480"/>
      <c r="AZ28" s="480"/>
    </row>
    <row r="29" spans="1:52" hidden="1" outlineLevel="1">
      <c r="A29" s="83" t="s">
        <v>162</v>
      </c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95"/>
      <c r="X29" s="481"/>
      <c r="Y29" s="481"/>
      <c r="Z29" s="481"/>
      <c r="AA29" s="481"/>
      <c r="AB29" s="481"/>
      <c r="AC29" s="481"/>
      <c r="AD29" s="481"/>
      <c r="AE29" s="481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  <c r="AX29" s="480"/>
      <c r="AY29" s="480"/>
      <c r="AZ29" s="480"/>
    </row>
    <row r="30" spans="1:52" hidden="1" outlineLevel="1">
      <c r="A30" s="355" t="s">
        <v>151</v>
      </c>
      <c r="C30" s="482">
        <f t="shared" ref="C30:AH30" ca="1" si="15">$C$8*C$5*$C$3</f>
        <v>1152000</v>
      </c>
      <c r="D30" s="483">
        <f t="shared" ca="1" si="15"/>
        <v>1291458.8347204071</v>
      </c>
      <c r="E30" s="483">
        <f t="shared" ca="1" si="15"/>
        <v>1436732.7375007118</v>
      </c>
      <c r="F30" s="483">
        <f t="shared" ca="1" si="15"/>
        <v>1582900.738875441</v>
      </c>
      <c r="G30" s="483">
        <f t="shared" ca="1" si="15"/>
        <v>1651171.6849214088</v>
      </c>
      <c r="H30" s="483">
        <f t="shared" ca="1" si="15"/>
        <v>1700895.4829291811</v>
      </c>
      <c r="I30" s="483">
        <f t="shared" ca="1" si="15"/>
        <v>1730372.8295036396</v>
      </c>
      <c r="J30" s="483">
        <f t="shared" ca="1" si="15"/>
        <v>1740973.885875768</v>
      </c>
      <c r="K30" s="483">
        <f t="shared" ca="1" si="15"/>
        <v>1736489.5291451437</v>
      </c>
      <c r="L30" s="483">
        <f t="shared" ca="1" si="15"/>
        <v>1717407.0700576925</v>
      </c>
      <c r="M30" s="483">
        <f t="shared" ca="1" si="15"/>
        <v>1685665.5611056075</v>
      </c>
      <c r="N30" s="483">
        <f t="shared" ca="1" si="15"/>
        <v>1642281.3395262703</v>
      </c>
      <c r="O30" s="483">
        <f t="shared" ca="1" si="15"/>
        <v>1589095.6414494498</v>
      </c>
      <c r="P30" s="483">
        <f t="shared" ca="1" si="15"/>
        <v>1528360.1796350172</v>
      </c>
      <c r="Q30" s="483">
        <f t="shared" ca="1" si="15"/>
        <v>1458468.2075519622</v>
      </c>
      <c r="R30" s="483">
        <f t="shared" ca="1" si="15"/>
        <v>1379838.1403133434</v>
      </c>
      <c r="S30" s="483">
        <f t="shared" ca="1" si="15"/>
        <v>1292391.6623599608</v>
      </c>
      <c r="T30" s="483">
        <f t="shared" ca="1" si="15"/>
        <v>1194615.0395352624</v>
      </c>
      <c r="U30" s="483">
        <f t="shared" ca="1" si="15"/>
        <v>1087472.8284615141</v>
      </c>
      <c r="V30" s="483">
        <f t="shared" ca="1" si="15"/>
        <v>968710.06551018055</v>
      </c>
      <c r="W30" s="483">
        <f t="shared" ca="1" si="15"/>
        <v>839292.30720423395</v>
      </c>
      <c r="X30" s="483">
        <f t="shared" ca="1" si="15"/>
        <v>697445.02692616149</v>
      </c>
      <c r="Y30" s="483">
        <f t="shared" ca="1" si="15"/>
        <v>542884.05814498488</v>
      </c>
      <c r="Z30" s="483">
        <f t="shared" ca="1" si="15"/>
        <v>460800</v>
      </c>
      <c r="AA30" s="483">
        <f t="shared" ca="1" si="15"/>
        <v>460800</v>
      </c>
      <c r="AB30" s="483">
        <f t="shared" ca="1" si="15"/>
        <v>460800</v>
      </c>
      <c r="AC30" s="483">
        <f t="shared" ca="1" si="15"/>
        <v>460800</v>
      </c>
      <c r="AD30" s="483">
        <f t="shared" ca="1" si="15"/>
        <v>460800</v>
      </c>
      <c r="AE30" s="483">
        <f t="shared" ca="1" si="15"/>
        <v>460800</v>
      </c>
      <c r="AF30" s="483">
        <f t="shared" ca="1" si="15"/>
        <v>460800</v>
      </c>
      <c r="AG30" s="483">
        <f t="shared" ca="1" si="15"/>
        <v>460800</v>
      </c>
      <c r="AH30" s="483">
        <f t="shared" ca="1" si="15"/>
        <v>460800</v>
      </c>
      <c r="AI30" s="483">
        <f t="shared" ref="AI30:AZ30" ca="1" si="16">$C$8*AI$5*$C$3</f>
        <v>460800</v>
      </c>
      <c r="AJ30" s="483">
        <f t="shared" ca="1" si="16"/>
        <v>460800</v>
      </c>
      <c r="AK30" s="483">
        <f t="shared" ca="1" si="16"/>
        <v>460800</v>
      </c>
      <c r="AL30" s="483">
        <f t="shared" ca="1" si="16"/>
        <v>460800</v>
      </c>
      <c r="AM30" s="483">
        <f t="shared" ca="1" si="16"/>
        <v>460800</v>
      </c>
      <c r="AN30" s="483">
        <f t="shared" ca="1" si="16"/>
        <v>460800</v>
      </c>
      <c r="AO30" s="483">
        <f t="shared" ca="1" si="16"/>
        <v>460800</v>
      </c>
      <c r="AP30" s="483">
        <f t="shared" ca="1" si="16"/>
        <v>460800</v>
      </c>
      <c r="AQ30" s="483">
        <f t="shared" ca="1" si="16"/>
        <v>460800</v>
      </c>
      <c r="AR30" s="483">
        <f t="shared" ca="1" si="16"/>
        <v>460800</v>
      </c>
      <c r="AS30" s="483">
        <f t="shared" ca="1" si="16"/>
        <v>460800</v>
      </c>
      <c r="AT30" s="483">
        <f t="shared" ca="1" si="16"/>
        <v>460800</v>
      </c>
      <c r="AU30" s="483">
        <f t="shared" ca="1" si="16"/>
        <v>460800</v>
      </c>
      <c r="AV30" s="483">
        <f t="shared" ca="1" si="16"/>
        <v>460800</v>
      </c>
      <c r="AW30" s="483">
        <f t="shared" ca="1" si="16"/>
        <v>460800</v>
      </c>
      <c r="AX30" s="483">
        <f t="shared" ca="1" si="16"/>
        <v>460800</v>
      </c>
      <c r="AY30" s="483">
        <f t="shared" ca="1" si="16"/>
        <v>460800</v>
      </c>
      <c r="AZ30" s="484">
        <f t="shared" ca="1" si="16"/>
        <v>460800</v>
      </c>
    </row>
    <row r="31" spans="1:52" hidden="1" outlineLevel="1">
      <c r="A31" s="67" t="s">
        <v>152</v>
      </c>
      <c r="C31" s="496"/>
      <c r="D31" s="486">
        <f t="shared" ref="D31:AI31" ca="1" si="17">$D$8*C$5*$C$3</f>
        <v>2736000</v>
      </c>
      <c r="E31" s="487">
        <f t="shared" ca="1" si="17"/>
        <v>3067214.7324609668</v>
      </c>
      <c r="F31" s="487">
        <f t="shared" ca="1" si="17"/>
        <v>3412240.2515641907</v>
      </c>
      <c r="G31" s="487">
        <f t="shared" ca="1" si="17"/>
        <v>3759389.254829173</v>
      </c>
      <c r="H31" s="487">
        <f t="shared" ca="1" si="17"/>
        <v>3921532.7516883463</v>
      </c>
      <c r="I31" s="487">
        <f t="shared" ca="1" si="17"/>
        <v>4039626.7719568056</v>
      </c>
      <c r="J31" s="487">
        <f t="shared" ca="1" si="17"/>
        <v>4109635.4700711444</v>
      </c>
      <c r="K31" s="487">
        <f t="shared" ca="1" si="17"/>
        <v>4134812.978954949</v>
      </c>
      <c r="L31" s="487">
        <f t="shared" ca="1" si="17"/>
        <v>4124162.6317197168</v>
      </c>
      <c r="M31" s="487">
        <f t="shared" ca="1" si="17"/>
        <v>4078841.7913870192</v>
      </c>
      <c r="N31" s="487">
        <f t="shared" ca="1" si="17"/>
        <v>4003455.7076258184</v>
      </c>
      <c r="O31" s="487">
        <f t="shared" ca="1" si="17"/>
        <v>3900418.1813748921</v>
      </c>
      <c r="P31" s="487">
        <f t="shared" ca="1" si="17"/>
        <v>3774102.1484424439</v>
      </c>
      <c r="Q31" s="487">
        <f t="shared" ca="1" si="17"/>
        <v>3629855.4266331661</v>
      </c>
      <c r="R31" s="487">
        <f t="shared" ca="1" si="17"/>
        <v>3463861.9929359104</v>
      </c>
      <c r="S31" s="487">
        <f t="shared" ca="1" si="17"/>
        <v>3277115.5832441906</v>
      </c>
      <c r="T31" s="487">
        <f t="shared" ca="1" si="17"/>
        <v>3069430.1981049073</v>
      </c>
      <c r="U31" s="487">
        <f t="shared" ca="1" si="17"/>
        <v>2837210.7188962484</v>
      </c>
      <c r="V31" s="487">
        <f t="shared" ca="1" si="17"/>
        <v>2582747.967596096</v>
      </c>
      <c r="W31" s="487">
        <f t="shared" ca="1" si="17"/>
        <v>2300686.405586679</v>
      </c>
      <c r="X31" s="487">
        <f t="shared" ca="1" si="17"/>
        <v>1993319.2296100559</v>
      </c>
      <c r="Y31" s="487">
        <f t="shared" ca="1" si="17"/>
        <v>1656431.9389496332</v>
      </c>
      <c r="Z31" s="487">
        <f t="shared" ca="1" si="17"/>
        <v>1289349.6380943393</v>
      </c>
      <c r="AA31" s="487">
        <f t="shared" ca="1" si="17"/>
        <v>1094400</v>
      </c>
      <c r="AB31" s="487">
        <f t="shared" ca="1" si="17"/>
        <v>1094400</v>
      </c>
      <c r="AC31" s="487">
        <f t="shared" ca="1" si="17"/>
        <v>1094400</v>
      </c>
      <c r="AD31" s="487">
        <f t="shared" ca="1" si="17"/>
        <v>1094400</v>
      </c>
      <c r="AE31" s="487">
        <f t="shared" ca="1" si="17"/>
        <v>1094400</v>
      </c>
      <c r="AF31" s="487">
        <f t="shared" ca="1" si="17"/>
        <v>1094400</v>
      </c>
      <c r="AG31" s="487">
        <f t="shared" ca="1" si="17"/>
        <v>1094400</v>
      </c>
      <c r="AH31" s="487">
        <f t="shared" ca="1" si="17"/>
        <v>1094400</v>
      </c>
      <c r="AI31" s="487">
        <f t="shared" ca="1" si="17"/>
        <v>1094400</v>
      </c>
      <c r="AJ31" s="487">
        <f t="shared" ref="AJ31:AZ31" ca="1" si="18">$D$8*AI$5*$C$3</f>
        <v>1094400</v>
      </c>
      <c r="AK31" s="487">
        <f t="shared" ca="1" si="18"/>
        <v>1094400</v>
      </c>
      <c r="AL31" s="487">
        <f t="shared" ca="1" si="18"/>
        <v>1094400</v>
      </c>
      <c r="AM31" s="487">
        <f t="shared" ca="1" si="18"/>
        <v>1094400</v>
      </c>
      <c r="AN31" s="487">
        <f t="shared" ca="1" si="18"/>
        <v>1094400</v>
      </c>
      <c r="AO31" s="487">
        <f t="shared" ca="1" si="18"/>
        <v>1094400</v>
      </c>
      <c r="AP31" s="487">
        <f t="shared" ca="1" si="18"/>
        <v>1094400</v>
      </c>
      <c r="AQ31" s="487">
        <f t="shared" ca="1" si="18"/>
        <v>1094400</v>
      </c>
      <c r="AR31" s="487">
        <f t="shared" ca="1" si="18"/>
        <v>1094400</v>
      </c>
      <c r="AS31" s="487">
        <f t="shared" ca="1" si="18"/>
        <v>1094400</v>
      </c>
      <c r="AT31" s="487">
        <f t="shared" ca="1" si="18"/>
        <v>1094400</v>
      </c>
      <c r="AU31" s="487">
        <f t="shared" ca="1" si="18"/>
        <v>1094400</v>
      </c>
      <c r="AV31" s="487">
        <f t="shared" ca="1" si="18"/>
        <v>1094400</v>
      </c>
      <c r="AW31" s="487">
        <f t="shared" ca="1" si="18"/>
        <v>1094400</v>
      </c>
      <c r="AX31" s="487">
        <f t="shared" ca="1" si="18"/>
        <v>1094400</v>
      </c>
      <c r="AY31" s="487">
        <f t="shared" ca="1" si="18"/>
        <v>1094400</v>
      </c>
      <c r="AZ31" s="488">
        <f t="shared" ca="1" si="18"/>
        <v>1094400</v>
      </c>
    </row>
    <row r="32" spans="1:52" hidden="1" outlineLevel="1">
      <c r="A32" s="355" t="s">
        <v>153</v>
      </c>
      <c r="C32" s="496"/>
      <c r="D32" s="489"/>
      <c r="E32" s="486">
        <f t="shared" ref="E32:AZ32" ca="1" si="19">$E$8*C$5*$C$3</f>
        <v>3996000</v>
      </c>
      <c r="F32" s="487">
        <f t="shared" ca="1" si="19"/>
        <v>4479747.8329364117</v>
      </c>
      <c r="G32" s="487">
        <f t="shared" ca="1" si="19"/>
        <v>4983666.6832055934</v>
      </c>
      <c r="H32" s="487">
        <f t="shared" ca="1" si="19"/>
        <v>5490686.9379741866</v>
      </c>
      <c r="I32" s="487">
        <f t="shared" ca="1" si="19"/>
        <v>5727501.7820711369</v>
      </c>
      <c r="J32" s="487">
        <f t="shared" ca="1" si="19"/>
        <v>5899981.2064105971</v>
      </c>
      <c r="K32" s="487">
        <f t="shared" ca="1" si="19"/>
        <v>6002230.7523407508</v>
      </c>
      <c r="L32" s="487">
        <f t="shared" ca="1" si="19"/>
        <v>6039003.1666315701</v>
      </c>
      <c r="M32" s="487">
        <f t="shared" ca="1" si="19"/>
        <v>6023448.0542222168</v>
      </c>
      <c r="N32" s="487">
        <f t="shared" ca="1" si="19"/>
        <v>5957255.7742626201</v>
      </c>
      <c r="O32" s="487">
        <f t="shared" ca="1" si="19"/>
        <v>5847152.4150850764</v>
      </c>
      <c r="P32" s="487">
        <f t="shared" ca="1" si="19"/>
        <v>5696663.3964817505</v>
      </c>
      <c r="Q32" s="487">
        <f t="shared" ca="1" si="19"/>
        <v>5512175.5062777791</v>
      </c>
      <c r="R32" s="487">
        <f t="shared" ca="1" si="19"/>
        <v>5301499.3731089663</v>
      </c>
      <c r="S32" s="487">
        <f t="shared" ca="1" si="19"/>
        <v>5059061.5949458685</v>
      </c>
      <c r="T32" s="487">
        <f t="shared" ca="1" si="19"/>
        <v>4786313.54921191</v>
      </c>
      <c r="U32" s="487">
        <f t="shared" ca="1" si="19"/>
        <v>4482983.5788111137</v>
      </c>
      <c r="V32" s="487">
        <f t="shared" ca="1" si="19"/>
        <v>4143820.9183879411</v>
      </c>
      <c r="W32" s="487">
        <f t="shared" ca="1" si="19"/>
        <v>3772171.3737258767</v>
      </c>
      <c r="X32" s="487">
        <f t="shared" ca="1" si="19"/>
        <v>3360213.039738439</v>
      </c>
      <c r="Y32" s="487">
        <f t="shared" ca="1" si="19"/>
        <v>2911295.1906146868</v>
      </c>
      <c r="Z32" s="487">
        <f t="shared" ca="1" si="19"/>
        <v>2419262.4371501226</v>
      </c>
      <c r="AA32" s="487">
        <f t="shared" ca="1" si="19"/>
        <v>1883129.0766904163</v>
      </c>
      <c r="AB32" s="487">
        <f t="shared" ca="1" si="19"/>
        <v>1598400</v>
      </c>
      <c r="AC32" s="487">
        <f t="shared" ca="1" si="19"/>
        <v>1598400</v>
      </c>
      <c r="AD32" s="487">
        <f t="shared" ca="1" si="19"/>
        <v>1598400</v>
      </c>
      <c r="AE32" s="487">
        <f t="shared" ca="1" si="19"/>
        <v>1598400</v>
      </c>
      <c r="AF32" s="487">
        <f t="shared" ca="1" si="19"/>
        <v>1598400</v>
      </c>
      <c r="AG32" s="487">
        <f t="shared" ca="1" si="19"/>
        <v>1598400</v>
      </c>
      <c r="AH32" s="487">
        <f t="shared" ca="1" si="19"/>
        <v>1598400</v>
      </c>
      <c r="AI32" s="487">
        <f t="shared" ca="1" si="19"/>
        <v>1598400</v>
      </c>
      <c r="AJ32" s="487">
        <f t="shared" ca="1" si="19"/>
        <v>1598400</v>
      </c>
      <c r="AK32" s="487">
        <f t="shared" ca="1" si="19"/>
        <v>1598400</v>
      </c>
      <c r="AL32" s="487">
        <f t="shared" ca="1" si="19"/>
        <v>1598400</v>
      </c>
      <c r="AM32" s="487">
        <f t="shared" ca="1" si="19"/>
        <v>1598400</v>
      </c>
      <c r="AN32" s="487">
        <f t="shared" ca="1" si="19"/>
        <v>1598400</v>
      </c>
      <c r="AO32" s="487">
        <f t="shared" ca="1" si="19"/>
        <v>1598400</v>
      </c>
      <c r="AP32" s="487">
        <f t="shared" ca="1" si="19"/>
        <v>1598400</v>
      </c>
      <c r="AQ32" s="487">
        <f t="shared" ca="1" si="19"/>
        <v>1598400</v>
      </c>
      <c r="AR32" s="487">
        <f t="shared" ca="1" si="19"/>
        <v>1598400</v>
      </c>
      <c r="AS32" s="487">
        <f t="shared" ca="1" si="19"/>
        <v>1598400</v>
      </c>
      <c r="AT32" s="487">
        <f t="shared" ca="1" si="19"/>
        <v>1598400</v>
      </c>
      <c r="AU32" s="487">
        <f t="shared" ca="1" si="19"/>
        <v>1598400</v>
      </c>
      <c r="AV32" s="487">
        <f t="shared" ca="1" si="19"/>
        <v>1598400</v>
      </c>
      <c r="AW32" s="487">
        <f t="shared" ca="1" si="19"/>
        <v>1598400</v>
      </c>
      <c r="AX32" s="487">
        <f t="shared" ca="1" si="19"/>
        <v>1598400</v>
      </c>
      <c r="AY32" s="487">
        <f t="shared" ca="1" si="19"/>
        <v>1598400</v>
      </c>
      <c r="AZ32" s="488">
        <f t="shared" ca="1" si="19"/>
        <v>1598400</v>
      </c>
    </row>
    <row r="33" spans="1:52" hidden="1" outlineLevel="1">
      <c r="A33" s="67" t="s">
        <v>154</v>
      </c>
      <c r="C33" s="496"/>
      <c r="D33" s="489"/>
      <c r="E33" s="489"/>
      <c r="F33" s="486">
        <f t="shared" ref="F33:AZ33" ca="1" si="20">$F$8*C$5*$C$3</f>
        <v>4914000</v>
      </c>
      <c r="G33" s="487">
        <f t="shared" ca="1" si="20"/>
        <v>5508879.091854237</v>
      </c>
      <c r="H33" s="487">
        <f t="shared" ca="1" si="20"/>
        <v>6128563.0834014732</v>
      </c>
      <c r="I33" s="487">
        <f t="shared" ca="1" si="20"/>
        <v>6752060.9642655533</v>
      </c>
      <c r="J33" s="487">
        <f t="shared" ca="1" si="20"/>
        <v>7043279.2184928851</v>
      </c>
      <c r="K33" s="487">
        <f t="shared" ca="1" si="20"/>
        <v>7255382.2943697879</v>
      </c>
      <c r="L33" s="487">
        <f t="shared" ca="1" si="20"/>
        <v>7381121.6008514641</v>
      </c>
      <c r="M33" s="487">
        <f t="shared" ca="1" si="20"/>
        <v>7426341.7319388222</v>
      </c>
      <c r="N33" s="487">
        <f t="shared" ca="1" si="20"/>
        <v>7407213.1477597542</v>
      </c>
      <c r="O33" s="487">
        <f t="shared" ca="1" si="20"/>
        <v>7325814.5332148438</v>
      </c>
      <c r="P33" s="487">
        <f t="shared" ca="1" si="20"/>
        <v>7190417.1590911075</v>
      </c>
      <c r="Q33" s="487">
        <f t="shared" ca="1" si="20"/>
        <v>7005356.3389167469</v>
      </c>
      <c r="R33" s="487">
        <f t="shared" ca="1" si="20"/>
        <v>6778486.0955578089</v>
      </c>
      <c r="S33" s="487">
        <f t="shared" ca="1" si="20"/>
        <v>6519411.3912556199</v>
      </c>
      <c r="T33" s="487">
        <f t="shared" ca="1" si="20"/>
        <v>6221278.4478388391</v>
      </c>
      <c r="U33" s="487">
        <f t="shared" ca="1" si="20"/>
        <v>5885872.0672741057</v>
      </c>
      <c r="V33" s="487">
        <f t="shared" ca="1" si="20"/>
        <v>5512858.1847542077</v>
      </c>
      <c r="W33" s="487">
        <f t="shared" ca="1" si="20"/>
        <v>5095779.7780176038</v>
      </c>
      <c r="X33" s="487">
        <f t="shared" ca="1" si="20"/>
        <v>4638751.283906146</v>
      </c>
      <c r="Y33" s="487">
        <f t="shared" ca="1" si="20"/>
        <v>4132153.8731918642</v>
      </c>
      <c r="Z33" s="487">
        <f t="shared" ca="1" si="20"/>
        <v>3580106.2479180605</v>
      </c>
      <c r="AA33" s="487">
        <f t="shared" ca="1" si="20"/>
        <v>2975038.9429819072</v>
      </c>
      <c r="AB33" s="487">
        <f t="shared" ca="1" si="20"/>
        <v>2315739.8105247011</v>
      </c>
      <c r="AC33" s="487">
        <f t="shared" ca="1" si="20"/>
        <v>1965600</v>
      </c>
      <c r="AD33" s="487">
        <f t="shared" ca="1" si="20"/>
        <v>1965600</v>
      </c>
      <c r="AE33" s="487">
        <f t="shared" ca="1" si="20"/>
        <v>1965600</v>
      </c>
      <c r="AF33" s="487">
        <f t="shared" ca="1" si="20"/>
        <v>1965600</v>
      </c>
      <c r="AG33" s="487">
        <f t="shared" ca="1" si="20"/>
        <v>1965600</v>
      </c>
      <c r="AH33" s="487">
        <f t="shared" ca="1" si="20"/>
        <v>1965600</v>
      </c>
      <c r="AI33" s="487">
        <f t="shared" ca="1" si="20"/>
        <v>1965600</v>
      </c>
      <c r="AJ33" s="487">
        <f t="shared" ca="1" si="20"/>
        <v>1965600</v>
      </c>
      <c r="AK33" s="487">
        <f t="shared" ca="1" si="20"/>
        <v>1965600</v>
      </c>
      <c r="AL33" s="487">
        <f t="shared" ca="1" si="20"/>
        <v>1965600</v>
      </c>
      <c r="AM33" s="487">
        <f t="shared" ca="1" si="20"/>
        <v>1965600</v>
      </c>
      <c r="AN33" s="487">
        <f t="shared" ca="1" si="20"/>
        <v>1965600</v>
      </c>
      <c r="AO33" s="487">
        <f t="shared" ca="1" si="20"/>
        <v>1965600</v>
      </c>
      <c r="AP33" s="487">
        <f t="shared" ca="1" si="20"/>
        <v>1965600</v>
      </c>
      <c r="AQ33" s="487">
        <f t="shared" ca="1" si="20"/>
        <v>1965600</v>
      </c>
      <c r="AR33" s="487">
        <f t="shared" ca="1" si="20"/>
        <v>1965600</v>
      </c>
      <c r="AS33" s="487">
        <f t="shared" ca="1" si="20"/>
        <v>1965600</v>
      </c>
      <c r="AT33" s="487">
        <f t="shared" ca="1" si="20"/>
        <v>1965600</v>
      </c>
      <c r="AU33" s="487">
        <f t="shared" ca="1" si="20"/>
        <v>1965600</v>
      </c>
      <c r="AV33" s="487">
        <f t="shared" ca="1" si="20"/>
        <v>1965600</v>
      </c>
      <c r="AW33" s="487">
        <f t="shared" ca="1" si="20"/>
        <v>1965600</v>
      </c>
      <c r="AX33" s="487">
        <f t="shared" ca="1" si="20"/>
        <v>1965600</v>
      </c>
      <c r="AY33" s="487">
        <f t="shared" ca="1" si="20"/>
        <v>1965600</v>
      </c>
      <c r="AZ33" s="488">
        <f t="shared" ca="1" si="20"/>
        <v>1965600</v>
      </c>
    </row>
    <row r="34" spans="1:52" hidden="1" outlineLevel="1">
      <c r="A34" s="355" t="s">
        <v>155</v>
      </c>
      <c r="C34" s="496"/>
      <c r="D34" s="489"/>
      <c r="E34" s="489"/>
      <c r="F34" s="489"/>
      <c r="G34" s="486">
        <f t="shared" ref="G34:AZ34" ca="1" si="21">$G$8*C$5*$C$3</f>
        <v>5310000</v>
      </c>
      <c r="H34" s="487">
        <f t="shared" ca="1" si="21"/>
        <v>5952818.0662893765</v>
      </c>
      <c r="I34" s="487">
        <f t="shared" ca="1" si="21"/>
        <v>6622439.9619173435</v>
      </c>
      <c r="J34" s="487">
        <f t="shared" ca="1" si="21"/>
        <v>7296183.093253986</v>
      </c>
      <c r="K34" s="487">
        <f t="shared" ca="1" si="21"/>
        <v>7610869.4851846192</v>
      </c>
      <c r="L34" s="487">
        <f t="shared" ca="1" si="21"/>
        <v>7840065.1166266948</v>
      </c>
      <c r="M34" s="487">
        <f t="shared" ca="1" si="21"/>
        <v>7975937.2609933391</v>
      </c>
      <c r="N34" s="487">
        <f t="shared" ca="1" si="21"/>
        <v>8024801.5052086189</v>
      </c>
      <c r="O34" s="487">
        <f t="shared" ca="1" si="21"/>
        <v>8004131.4234033972</v>
      </c>
      <c r="P34" s="487">
        <f t="shared" ca="1" si="21"/>
        <v>7916173.2135471758</v>
      </c>
      <c r="Q34" s="487">
        <f t="shared" ca="1" si="21"/>
        <v>7769864.6957211606</v>
      </c>
      <c r="R34" s="487">
        <f t="shared" ca="1" si="21"/>
        <v>7569890.5493789027</v>
      </c>
      <c r="S34" s="487">
        <f t="shared" ca="1" si="21"/>
        <v>7324737.7223060578</v>
      </c>
      <c r="T34" s="487">
        <f t="shared" ca="1" si="21"/>
        <v>7044785.2030051583</v>
      </c>
      <c r="U34" s="487">
        <f t="shared" ca="1" si="21"/>
        <v>6722626.894184825</v>
      </c>
      <c r="V34" s="487">
        <f t="shared" ca="1" si="21"/>
        <v>6360191.4280068176</v>
      </c>
      <c r="W34" s="487">
        <f t="shared" ca="1" si="21"/>
        <v>5957117.8186904443</v>
      </c>
      <c r="X34" s="487">
        <f t="shared" ca="1" si="21"/>
        <v>5506428.6978578502</v>
      </c>
      <c r="Y34" s="487">
        <f t="shared" ca="1" si="21"/>
        <v>5012570.0686897915</v>
      </c>
      <c r="Z34" s="487">
        <f t="shared" ca="1" si="21"/>
        <v>4465147.9582109889</v>
      </c>
      <c r="AA34" s="487">
        <f t="shared" ca="1" si="21"/>
        <v>3868612.9785195161</v>
      </c>
      <c r="AB34" s="487">
        <f t="shared" ca="1" si="21"/>
        <v>3214785.6709877751</v>
      </c>
      <c r="AC34" s="487">
        <f t="shared" ca="1" si="21"/>
        <v>2502356.2055120398</v>
      </c>
      <c r="AD34" s="487">
        <f t="shared" ca="1" si="21"/>
        <v>2124000</v>
      </c>
      <c r="AE34" s="487">
        <f t="shared" ca="1" si="21"/>
        <v>2124000</v>
      </c>
      <c r="AF34" s="487">
        <f t="shared" ca="1" si="21"/>
        <v>2124000</v>
      </c>
      <c r="AG34" s="487">
        <f t="shared" ca="1" si="21"/>
        <v>2124000</v>
      </c>
      <c r="AH34" s="487">
        <f t="shared" ca="1" si="21"/>
        <v>2124000</v>
      </c>
      <c r="AI34" s="487">
        <f t="shared" ca="1" si="21"/>
        <v>2124000</v>
      </c>
      <c r="AJ34" s="487">
        <f t="shared" ca="1" si="21"/>
        <v>2124000</v>
      </c>
      <c r="AK34" s="487">
        <f t="shared" ca="1" si="21"/>
        <v>2124000</v>
      </c>
      <c r="AL34" s="487">
        <f t="shared" ca="1" si="21"/>
        <v>2124000</v>
      </c>
      <c r="AM34" s="487">
        <f t="shared" ca="1" si="21"/>
        <v>2124000</v>
      </c>
      <c r="AN34" s="487">
        <f t="shared" ca="1" si="21"/>
        <v>2124000</v>
      </c>
      <c r="AO34" s="487">
        <f t="shared" ca="1" si="21"/>
        <v>2124000</v>
      </c>
      <c r="AP34" s="487">
        <f t="shared" ca="1" si="21"/>
        <v>2124000</v>
      </c>
      <c r="AQ34" s="487">
        <f t="shared" ca="1" si="21"/>
        <v>2124000</v>
      </c>
      <c r="AR34" s="487">
        <f t="shared" ca="1" si="21"/>
        <v>2124000</v>
      </c>
      <c r="AS34" s="487">
        <f t="shared" ca="1" si="21"/>
        <v>2124000</v>
      </c>
      <c r="AT34" s="487">
        <f t="shared" ca="1" si="21"/>
        <v>2124000</v>
      </c>
      <c r="AU34" s="487">
        <f t="shared" ca="1" si="21"/>
        <v>2124000</v>
      </c>
      <c r="AV34" s="487">
        <f t="shared" ca="1" si="21"/>
        <v>2124000</v>
      </c>
      <c r="AW34" s="487">
        <f t="shared" ca="1" si="21"/>
        <v>2124000</v>
      </c>
      <c r="AX34" s="487">
        <f t="shared" ca="1" si="21"/>
        <v>2124000</v>
      </c>
      <c r="AY34" s="487">
        <f t="shared" ca="1" si="21"/>
        <v>2124000</v>
      </c>
      <c r="AZ34" s="488">
        <f t="shared" ca="1" si="21"/>
        <v>2124000</v>
      </c>
    </row>
    <row r="35" spans="1:52" hidden="1" outlineLevel="1">
      <c r="A35" s="67" t="s">
        <v>156</v>
      </c>
      <c r="C35" s="496"/>
      <c r="D35" s="489"/>
      <c r="E35" s="489"/>
      <c r="F35" s="489"/>
      <c r="G35" s="489"/>
      <c r="H35" s="486">
        <f t="shared" ref="H35:AZ35" ca="1" si="22">$H$8*C$5*$C$3</f>
        <v>5130000</v>
      </c>
      <c r="I35" s="487">
        <f t="shared" ca="1" si="22"/>
        <v>5751027.6233643135</v>
      </c>
      <c r="J35" s="487">
        <f t="shared" ca="1" si="22"/>
        <v>6397950.4716828568</v>
      </c>
      <c r="K35" s="487">
        <f t="shared" ca="1" si="22"/>
        <v>7048854.852804699</v>
      </c>
      <c r="L35" s="487">
        <f t="shared" ca="1" si="22"/>
        <v>7352873.9094156493</v>
      </c>
      <c r="M35" s="487">
        <f t="shared" ca="1" si="22"/>
        <v>7574300.1974190101</v>
      </c>
      <c r="N35" s="487">
        <f t="shared" ca="1" si="22"/>
        <v>7705566.5063833958</v>
      </c>
      <c r="O35" s="487">
        <f t="shared" ca="1" si="22"/>
        <v>7752774.3355405284</v>
      </c>
      <c r="P35" s="487">
        <f t="shared" ca="1" si="22"/>
        <v>7732804.9344744682</v>
      </c>
      <c r="Q35" s="487">
        <f t="shared" ca="1" si="22"/>
        <v>7647828.3588506607</v>
      </c>
      <c r="R35" s="487">
        <f t="shared" ca="1" si="22"/>
        <v>7506479.4517984083</v>
      </c>
      <c r="S35" s="487">
        <f t="shared" ca="1" si="22"/>
        <v>7313284.0900779227</v>
      </c>
      <c r="T35" s="487">
        <f t="shared" ca="1" si="22"/>
        <v>7076441.528329581</v>
      </c>
      <c r="U35" s="487">
        <f t="shared" ca="1" si="22"/>
        <v>6805978.9249371858</v>
      </c>
      <c r="V35" s="487">
        <f t="shared" ca="1" si="22"/>
        <v>6494741.2367548319</v>
      </c>
      <c r="W35" s="487">
        <f t="shared" ca="1" si="22"/>
        <v>6144591.7185828574</v>
      </c>
      <c r="X35" s="487">
        <f t="shared" ca="1" si="22"/>
        <v>5755181.6214467008</v>
      </c>
      <c r="Y35" s="487">
        <f t="shared" ca="1" si="22"/>
        <v>5319770.0979304649</v>
      </c>
      <c r="Z35" s="487">
        <f t="shared" ca="1" si="22"/>
        <v>4842652.4392426796</v>
      </c>
      <c r="AA35" s="487">
        <f t="shared" ca="1" si="22"/>
        <v>4313787.0104750227</v>
      </c>
      <c r="AB35" s="487">
        <f t="shared" ca="1" si="22"/>
        <v>3737473.5555188549</v>
      </c>
      <c r="AC35" s="487">
        <f t="shared" ca="1" si="22"/>
        <v>3105809.8855305626</v>
      </c>
      <c r="AD35" s="487">
        <f t="shared" ca="1" si="22"/>
        <v>2417530.5714268861</v>
      </c>
      <c r="AE35" s="487">
        <f t="shared" ca="1" si="22"/>
        <v>2052000</v>
      </c>
      <c r="AF35" s="487">
        <f t="shared" ca="1" si="22"/>
        <v>2052000</v>
      </c>
      <c r="AG35" s="487">
        <f t="shared" ca="1" si="22"/>
        <v>2052000</v>
      </c>
      <c r="AH35" s="487">
        <f t="shared" ca="1" si="22"/>
        <v>2052000</v>
      </c>
      <c r="AI35" s="487">
        <f t="shared" ca="1" si="22"/>
        <v>2052000</v>
      </c>
      <c r="AJ35" s="487">
        <f t="shared" ca="1" si="22"/>
        <v>2052000</v>
      </c>
      <c r="AK35" s="487">
        <f t="shared" ca="1" si="22"/>
        <v>2052000</v>
      </c>
      <c r="AL35" s="487">
        <f t="shared" ca="1" si="22"/>
        <v>2052000</v>
      </c>
      <c r="AM35" s="487">
        <f t="shared" ca="1" si="22"/>
        <v>2052000</v>
      </c>
      <c r="AN35" s="487">
        <f t="shared" ca="1" si="22"/>
        <v>2052000</v>
      </c>
      <c r="AO35" s="487">
        <f t="shared" ca="1" si="22"/>
        <v>2052000</v>
      </c>
      <c r="AP35" s="487">
        <f t="shared" ca="1" si="22"/>
        <v>2052000</v>
      </c>
      <c r="AQ35" s="487">
        <f t="shared" ca="1" si="22"/>
        <v>2052000</v>
      </c>
      <c r="AR35" s="487">
        <f t="shared" ca="1" si="22"/>
        <v>2052000</v>
      </c>
      <c r="AS35" s="487">
        <f t="shared" ca="1" si="22"/>
        <v>2052000</v>
      </c>
      <c r="AT35" s="487">
        <f t="shared" ca="1" si="22"/>
        <v>2052000</v>
      </c>
      <c r="AU35" s="487">
        <f t="shared" ca="1" si="22"/>
        <v>2052000</v>
      </c>
      <c r="AV35" s="487">
        <f t="shared" ca="1" si="22"/>
        <v>2052000</v>
      </c>
      <c r="AW35" s="487">
        <f t="shared" ca="1" si="22"/>
        <v>2052000</v>
      </c>
      <c r="AX35" s="487">
        <f t="shared" ca="1" si="22"/>
        <v>2052000</v>
      </c>
      <c r="AY35" s="487">
        <f t="shared" ca="1" si="22"/>
        <v>2052000</v>
      </c>
      <c r="AZ35" s="488">
        <f t="shared" ca="1" si="22"/>
        <v>2052000</v>
      </c>
    </row>
    <row r="36" spans="1:52" hidden="1" outlineLevel="1">
      <c r="A36" s="355" t="s">
        <v>157</v>
      </c>
      <c r="C36" s="496"/>
      <c r="D36" s="489"/>
      <c r="E36" s="489"/>
      <c r="F36" s="489"/>
      <c r="G36" s="489"/>
      <c r="H36" s="489"/>
      <c r="I36" s="486">
        <f t="shared" ref="I36:AZ36" ca="1" si="23">$I$8*C$5*$C$3</f>
        <v>4356000</v>
      </c>
      <c r="J36" s="487">
        <f t="shared" ca="1" si="23"/>
        <v>4883328.7187865395</v>
      </c>
      <c r="K36" s="487">
        <f t="shared" ca="1" si="23"/>
        <v>5432645.6636745669</v>
      </c>
      <c r="L36" s="487">
        <f t="shared" ca="1" si="23"/>
        <v>5985343.4188727615</v>
      </c>
      <c r="M36" s="487">
        <f t="shared" ca="1" si="23"/>
        <v>6243492.9336090777</v>
      </c>
      <c r="N36" s="487">
        <f t="shared" ca="1" si="23"/>
        <v>6431511.0448259665</v>
      </c>
      <c r="O36" s="487">
        <f t="shared" ca="1" si="23"/>
        <v>6542972.2615606375</v>
      </c>
      <c r="P36" s="487">
        <f t="shared" ca="1" si="23"/>
        <v>6583057.5059677484</v>
      </c>
      <c r="Q36" s="487">
        <f t="shared" ca="1" si="23"/>
        <v>6566101.0320800748</v>
      </c>
      <c r="R36" s="487">
        <f t="shared" ca="1" si="23"/>
        <v>6493945.4836556483</v>
      </c>
      <c r="S36" s="487">
        <f t="shared" ca="1" si="23"/>
        <v>6373922.9029305782</v>
      </c>
      <c r="T36" s="487">
        <f t="shared" ca="1" si="23"/>
        <v>6209876.3150837105</v>
      </c>
      <c r="U36" s="487">
        <f t="shared" ca="1" si="23"/>
        <v>6008767.8942307318</v>
      </c>
      <c r="V36" s="487">
        <f t="shared" ca="1" si="23"/>
        <v>5779111.9292449094</v>
      </c>
      <c r="W36" s="487">
        <f t="shared" ca="1" si="23"/>
        <v>5514832.9098058566</v>
      </c>
      <c r="X36" s="487">
        <f t="shared" ca="1" si="23"/>
        <v>5217512.9680598294</v>
      </c>
      <c r="Y36" s="487">
        <f t="shared" ca="1" si="23"/>
        <v>4886855.9732986018</v>
      </c>
      <c r="Z36" s="487">
        <f t="shared" ca="1" si="23"/>
        <v>4517138.1182427108</v>
      </c>
      <c r="AA36" s="487">
        <f t="shared" ca="1" si="23"/>
        <v>4112006.6326200995</v>
      </c>
      <c r="AB36" s="487">
        <f t="shared" ca="1" si="23"/>
        <v>3662934.93521037</v>
      </c>
      <c r="AC36" s="487">
        <f t="shared" ca="1" si="23"/>
        <v>3173574.0366160101</v>
      </c>
      <c r="AD36" s="487">
        <f t="shared" ca="1" si="23"/>
        <v>2637214.0080645476</v>
      </c>
      <c r="AE36" s="487">
        <f t="shared" ca="1" si="23"/>
        <v>2052780.3448607242</v>
      </c>
      <c r="AF36" s="487">
        <f t="shared" ca="1" si="23"/>
        <v>1742400</v>
      </c>
      <c r="AG36" s="487">
        <f t="shared" ca="1" si="23"/>
        <v>1742400</v>
      </c>
      <c r="AH36" s="487">
        <f t="shared" ca="1" si="23"/>
        <v>1742400</v>
      </c>
      <c r="AI36" s="487">
        <f t="shared" ca="1" si="23"/>
        <v>1742400</v>
      </c>
      <c r="AJ36" s="487">
        <f t="shared" ca="1" si="23"/>
        <v>1742400</v>
      </c>
      <c r="AK36" s="487">
        <f t="shared" ca="1" si="23"/>
        <v>1742400</v>
      </c>
      <c r="AL36" s="487">
        <f t="shared" ca="1" si="23"/>
        <v>1742400</v>
      </c>
      <c r="AM36" s="487">
        <f t="shared" ca="1" si="23"/>
        <v>1742400</v>
      </c>
      <c r="AN36" s="487">
        <f t="shared" ca="1" si="23"/>
        <v>1742400</v>
      </c>
      <c r="AO36" s="487">
        <f t="shared" ca="1" si="23"/>
        <v>1742400</v>
      </c>
      <c r="AP36" s="487">
        <f t="shared" ca="1" si="23"/>
        <v>1742400</v>
      </c>
      <c r="AQ36" s="487">
        <f t="shared" ca="1" si="23"/>
        <v>1742400</v>
      </c>
      <c r="AR36" s="487">
        <f t="shared" ca="1" si="23"/>
        <v>1742400</v>
      </c>
      <c r="AS36" s="487">
        <f t="shared" ca="1" si="23"/>
        <v>1742400</v>
      </c>
      <c r="AT36" s="487">
        <f t="shared" ca="1" si="23"/>
        <v>1742400</v>
      </c>
      <c r="AU36" s="487">
        <f t="shared" ca="1" si="23"/>
        <v>1742400</v>
      </c>
      <c r="AV36" s="487">
        <f t="shared" ca="1" si="23"/>
        <v>1742400</v>
      </c>
      <c r="AW36" s="487">
        <f t="shared" ca="1" si="23"/>
        <v>1742400</v>
      </c>
      <c r="AX36" s="487">
        <f t="shared" ca="1" si="23"/>
        <v>1742400</v>
      </c>
      <c r="AY36" s="487">
        <f t="shared" ca="1" si="23"/>
        <v>1742400</v>
      </c>
      <c r="AZ36" s="488">
        <f t="shared" ca="1" si="23"/>
        <v>1742400</v>
      </c>
    </row>
    <row r="37" spans="1:52" hidden="1" outlineLevel="1">
      <c r="A37" s="67" t="s">
        <v>158</v>
      </c>
      <c r="C37" s="496"/>
      <c r="D37" s="489"/>
      <c r="E37" s="489"/>
      <c r="F37" s="489"/>
      <c r="G37" s="489"/>
      <c r="H37" s="489"/>
      <c r="I37" s="489"/>
      <c r="J37" s="486">
        <f t="shared" ref="J37:AZ37" ca="1" si="24">$J$8*C$5*$C$3</f>
        <v>3654000</v>
      </c>
      <c r="K37" s="487">
        <f t="shared" ca="1" si="24"/>
        <v>4096345.9913787916</v>
      </c>
      <c r="L37" s="487">
        <f t="shared" ca="1" si="24"/>
        <v>4557136.6517600706</v>
      </c>
      <c r="M37" s="487">
        <f t="shared" ca="1" si="24"/>
        <v>5020763.2811205396</v>
      </c>
      <c r="N37" s="487">
        <f t="shared" ca="1" si="24"/>
        <v>5237310.1881100936</v>
      </c>
      <c r="O37" s="487">
        <f t="shared" ca="1" si="24"/>
        <v>5395027.859915996</v>
      </c>
      <c r="P37" s="487">
        <f t="shared" ca="1" si="24"/>
        <v>5488526.3185818577</v>
      </c>
      <c r="Q37" s="487">
        <f t="shared" ca="1" si="24"/>
        <v>5522151.5442622015</v>
      </c>
      <c r="R37" s="487">
        <f t="shared" ca="1" si="24"/>
        <v>5507927.7252572523</v>
      </c>
      <c r="S37" s="487">
        <f t="shared" ca="1" si="24"/>
        <v>5447400.5503392434</v>
      </c>
      <c r="T37" s="487">
        <f t="shared" ca="1" si="24"/>
        <v>5346720.4516318487</v>
      </c>
      <c r="U37" s="487">
        <f t="shared" ca="1" si="24"/>
        <v>5209111.123809889</v>
      </c>
      <c r="V37" s="487">
        <f t="shared" ca="1" si="24"/>
        <v>5040412.7377224732</v>
      </c>
      <c r="W37" s="487">
        <f t="shared" ca="1" si="24"/>
        <v>4847767.4447798207</v>
      </c>
      <c r="X37" s="487">
        <f t="shared" ca="1" si="24"/>
        <v>4626078.8458288796</v>
      </c>
      <c r="Y37" s="487">
        <f t="shared" ca="1" si="24"/>
        <v>4376674.1013063863</v>
      </c>
      <c r="Z37" s="487">
        <f t="shared" ca="1" si="24"/>
        <v>4099304.8040480008</v>
      </c>
      <c r="AA37" s="487">
        <f t="shared" ca="1" si="24"/>
        <v>3789169.5785259102</v>
      </c>
      <c r="AB37" s="487">
        <f t="shared" ca="1" si="24"/>
        <v>3449327.8777763653</v>
      </c>
      <c r="AC37" s="487">
        <f t="shared" ca="1" si="24"/>
        <v>3072627.2390401042</v>
      </c>
      <c r="AD37" s="487">
        <f t="shared" ca="1" si="24"/>
        <v>2662130.2869134299</v>
      </c>
      <c r="AE37" s="487">
        <f t="shared" ca="1" si="24"/>
        <v>2212208.4447814184</v>
      </c>
      <c r="AF37" s="487">
        <f t="shared" ca="1" si="24"/>
        <v>1721960.3719286241</v>
      </c>
      <c r="AG37" s="487">
        <f t="shared" ca="1" si="24"/>
        <v>1461600</v>
      </c>
      <c r="AH37" s="487">
        <f t="shared" ca="1" si="24"/>
        <v>1461600</v>
      </c>
      <c r="AI37" s="487">
        <f t="shared" ca="1" si="24"/>
        <v>1461600</v>
      </c>
      <c r="AJ37" s="487">
        <f t="shared" ca="1" si="24"/>
        <v>1461600</v>
      </c>
      <c r="AK37" s="487">
        <f t="shared" ca="1" si="24"/>
        <v>1461600</v>
      </c>
      <c r="AL37" s="487">
        <f t="shared" ca="1" si="24"/>
        <v>1461600</v>
      </c>
      <c r="AM37" s="487">
        <f t="shared" ca="1" si="24"/>
        <v>1461600</v>
      </c>
      <c r="AN37" s="487">
        <f t="shared" ca="1" si="24"/>
        <v>1461600</v>
      </c>
      <c r="AO37" s="487">
        <f t="shared" ca="1" si="24"/>
        <v>1461600</v>
      </c>
      <c r="AP37" s="487">
        <f t="shared" ca="1" si="24"/>
        <v>1461600</v>
      </c>
      <c r="AQ37" s="487">
        <f t="shared" ca="1" si="24"/>
        <v>1461600</v>
      </c>
      <c r="AR37" s="487">
        <f t="shared" ca="1" si="24"/>
        <v>1461600</v>
      </c>
      <c r="AS37" s="487">
        <f t="shared" ca="1" si="24"/>
        <v>1461600</v>
      </c>
      <c r="AT37" s="487">
        <f t="shared" ca="1" si="24"/>
        <v>1461600</v>
      </c>
      <c r="AU37" s="487">
        <f t="shared" ca="1" si="24"/>
        <v>1461600</v>
      </c>
      <c r="AV37" s="487">
        <f t="shared" ca="1" si="24"/>
        <v>1461600</v>
      </c>
      <c r="AW37" s="487">
        <f t="shared" ca="1" si="24"/>
        <v>1461600</v>
      </c>
      <c r="AX37" s="487">
        <f t="shared" ca="1" si="24"/>
        <v>1461600</v>
      </c>
      <c r="AY37" s="487">
        <f t="shared" ca="1" si="24"/>
        <v>1461600</v>
      </c>
      <c r="AZ37" s="488">
        <f t="shared" ca="1" si="24"/>
        <v>1461600</v>
      </c>
    </row>
    <row r="38" spans="1:52" hidden="1" outlineLevel="1">
      <c r="A38" s="355" t="s">
        <v>159</v>
      </c>
      <c r="C38" s="496"/>
      <c r="D38" s="489"/>
      <c r="E38" s="489"/>
      <c r="F38" s="489"/>
      <c r="G38" s="489"/>
      <c r="H38" s="489"/>
      <c r="I38" s="489"/>
      <c r="J38" s="489"/>
      <c r="K38" s="486">
        <f t="shared" ref="K38:AZ38" ca="1" si="25">$K$8*C$5*$C$3</f>
        <v>2520000</v>
      </c>
      <c r="L38" s="487">
        <f t="shared" ca="1" si="25"/>
        <v>2825066.2009508908</v>
      </c>
      <c r="M38" s="487">
        <f t="shared" ca="1" si="25"/>
        <v>3142852.8632828067</v>
      </c>
      <c r="N38" s="487">
        <f t="shared" ca="1" si="25"/>
        <v>3462595.3662900273</v>
      </c>
      <c r="O38" s="487">
        <f t="shared" ca="1" si="25"/>
        <v>3611938.0607655821</v>
      </c>
      <c r="P38" s="487">
        <f t="shared" ca="1" si="25"/>
        <v>3720708.8689075834</v>
      </c>
      <c r="Q38" s="487">
        <f t="shared" ca="1" si="25"/>
        <v>3785190.5645392118</v>
      </c>
      <c r="R38" s="487">
        <f t="shared" ca="1" si="25"/>
        <v>3808380.3753532423</v>
      </c>
      <c r="S38" s="487">
        <f t="shared" ca="1" si="25"/>
        <v>3798570.8450050019</v>
      </c>
      <c r="T38" s="487">
        <f t="shared" ca="1" si="25"/>
        <v>3756827.9657512018</v>
      </c>
      <c r="U38" s="487">
        <f t="shared" ca="1" si="25"/>
        <v>3687393.4149185163</v>
      </c>
      <c r="V38" s="487">
        <f t="shared" ca="1" si="25"/>
        <v>3592490.4302137163</v>
      </c>
      <c r="W38" s="487">
        <f t="shared" ca="1" si="25"/>
        <v>3476146.7156706713</v>
      </c>
      <c r="X38" s="487">
        <f t="shared" ca="1" si="25"/>
        <v>3343287.8929515998</v>
      </c>
      <c r="Y38" s="487">
        <f t="shared" ca="1" si="25"/>
        <v>3190399.2040199172</v>
      </c>
      <c r="Z38" s="487">
        <f t="shared" ca="1" si="25"/>
        <v>3018395.9319354384</v>
      </c>
      <c r="AA38" s="487">
        <f t="shared" ca="1" si="25"/>
        <v>2827106.7614124143</v>
      </c>
      <c r="AB38" s="487">
        <f t="shared" ca="1" si="25"/>
        <v>2613220.3989833863</v>
      </c>
      <c r="AC38" s="487">
        <f t="shared" ca="1" si="25"/>
        <v>2378846.8122595618</v>
      </c>
      <c r="AD38" s="487">
        <f t="shared" ca="1" si="25"/>
        <v>2119053.26830352</v>
      </c>
      <c r="AE38" s="487">
        <f t="shared" ca="1" si="25"/>
        <v>1835951.9220092618</v>
      </c>
      <c r="AF38" s="487">
        <f t="shared" ca="1" si="25"/>
        <v>1525660.996400978</v>
      </c>
      <c r="AG38" s="487">
        <f t="shared" ca="1" si="25"/>
        <v>1187558.8771921545</v>
      </c>
      <c r="AH38" s="487">
        <f t="shared" ca="1" si="25"/>
        <v>1008000</v>
      </c>
      <c r="AI38" s="487">
        <f t="shared" ca="1" si="25"/>
        <v>1008000</v>
      </c>
      <c r="AJ38" s="487">
        <f t="shared" ca="1" si="25"/>
        <v>1008000</v>
      </c>
      <c r="AK38" s="487">
        <f t="shared" ca="1" si="25"/>
        <v>1008000</v>
      </c>
      <c r="AL38" s="487">
        <f t="shared" ca="1" si="25"/>
        <v>1008000</v>
      </c>
      <c r="AM38" s="487">
        <f t="shared" ca="1" si="25"/>
        <v>1008000</v>
      </c>
      <c r="AN38" s="487">
        <f t="shared" ca="1" si="25"/>
        <v>1008000</v>
      </c>
      <c r="AO38" s="487">
        <f t="shared" ca="1" si="25"/>
        <v>1008000</v>
      </c>
      <c r="AP38" s="487">
        <f t="shared" ca="1" si="25"/>
        <v>1008000</v>
      </c>
      <c r="AQ38" s="487">
        <f t="shared" ca="1" si="25"/>
        <v>1008000</v>
      </c>
      <c r="AR38" s="487">
        <f t="shared" ca="1" si="25"/>
        <v>1008000</v>
      </c>
      <c r="AS38" s="487">
        <f t="shared" ca="1" si="25"/>
        <v>1008000</v>
      </c>
      <c r="AT38" s="487">
        <f t="shared" ca="1" si="25"/>
        <v>1008000</v>
      </c>
      <c r="AU38" s="487">
        <f t="shared" ca="1" si="25"/>
        <v>1008000</v>
      </c>
      <c r="AV38" s="487">
        <f t="shared" ca="1" si="25"/>
        <v>1008000</v>
      </c>
      <c r="AW38" s="487">
        <f t="shared" ca="1" si="25"/>
        <v>1008000</v>
      </c>
      <c r="AX38" s="487">
        <f t="shared" ca="1" si="25"/>
        <v>1008000</v>
      </c>
      <c r="AY38" s="487">
        <f t="shared" ca="1" si="25"/>
        <v>1008000</v>
      </c>
      <c r="AZ38" s="488">
        <f t="shared" ca="1" si="25"/>
        <v>1008000</v>
      </c>
    </row>
    <row r="39" spans="1:52" hidden="1" outlineLevel="1">
      <c r="A39" s="67" t="s">
        <v>160</v>
      </c>
      <c r="C39" s="496"/>
      <c r="D39" s="489"/>
      <c r="E39" s="489"/>
      <c r="F39" s="489"/>
      <c r="G39" s="489"/>
      <c r="H39" s="489"/>
      <c r="I39" s="489"/>
      <c r="J39" s="489"/>
      <c r="K39" s="489"/>
      <c r="L39" s="486">
        <f t="shared" ref="L39:AZ39" ca="1" si="26">$L$8*C$5*$C$3</f>
        <v>1314000</v>
      </c>
      <c r="M39" s="487">
        <f t="shared" ca="1" si="26"/>
        <v>1473070.2333529645</v>
      </c>
      <c r="N39" s="487">
        <f t="shared" ca="1" si="26"/>
        <v>1638773.2787117492</v>
      </c>
      <c r="O39" s="487">
        <f t="shared" ca="1" si="26"/>
        <v>1805496.1552798001</v>
      </c>
      <c r="P39" s="487">
        <f t="shared" ca="1" si="26"/>
        <v>1883367.7031134821</v>
      </c>
      <c r="Q39" s="487">
        <f t="shared" ca="1" si="26"/>
        <v>1940083.9102160973</v>
      </c>
      <c r="R39" s="487">
        <f t="shared" ca="1" si="26"/>
        <v>1973706.5086525891</v>
      </c>
      <c r="S39" s="487">
        <f t="shared" ca="1" si="26"/>
        <v>1985798.3385770477</v>
      </c>
      <c r="T39" s="487">
        <f t="shared" ca="1" si="26"/>
        <v>1980683.3691811794</v>
      </c>
      <c r="U39" s="487">
        <f t="shared" ca="1" si="26"/>
        <v>1958917.4392845554</v>
      </c>
      <c r="V39" s="487">
        <f t="shared" ca="1" si="26"/>
        <v>1922712.2806360836</v>
      </c>
      <c r="W39" s="487">
        <f t="shared" ca="1" si="26"/>
        <v>1873227.1528971524</v>
      </c>
      <c r="X39" s="487">
        <f t="shared" ca="1" si="26"/>
        <v>1812562.2160282787</v>
      </c>
      <c r="Y39" s="487">
        <f t="shared" ca="1" si="26"/>
        <v>1743285.8298961916</v>
      </c>
      <c r="Z39" s="487">
        <f t="shared" ca="1" si="26"/>
        <v>1663565.299238957</v>
      </c>
      <c r="AA39" s="487">
        <f t="shared" ca="1" si="26"/>
        <v>1573877.8787949071</v>
      </c>
      <c r="AB39" s="487">
        <f t="shared" ca="1" si="26"/>
        <v>1474134.2398793302</v>
      </c>
      <c r="AC39" s="487">
        <f t="shared" ca="1" si="26"/>
        <v>1362607.7794699087</v>
      </c>
      <c r="AD39" s="487">
        <f t="shared" ca="1" si="26"/>
        <v>1240398.6949639143</v>
      </c>
      <c r="AE39" s="487">
        <f t="shared" ca="1" si="26"/>
        <v>1104934.9184725499</v>
      </c>
      <c r="AF39" s="487">
        <f t="shared" ca="1" si="26"/>
        <v>957317.78790482949</v>
      </c>
      <c r="AG39" s="487">
        <f t="shared" ca="1" si="26"/>
        <v>795523.23383765284</v>
      </c>
      <c r="AH39" s="487">
        <f t="shared" ca="1" si="26"/>
        <v>619227.1288216234</v>
      </c>
      <c r="AI39" s="487">
        <f t="shared" ca="1" si="26"/>
        <v>525600</v>
      </c>
      <c r="AJ39" s="487">
        <f t="shared" ca="1" si="26"/>
        <v>525600</v>
      </c>
      <c r="AK39" s="487">
        <f t="shared" ca="1" si="26"/>
        <v>525600</v>
      </c>
      <c r="AL39" s="487">
        <f t="shared" ca="1" si="26"/>
        <v>525600</v>
      </c>
      <c r="AM39" s="487">
        <f t="shared" ca="1" si="26"/>
        <v>525600</v>
      </c>
      <c r="AN39" s="487">
        <f t="shared" ca="1" si="26"/>
        <v>525600</v>
      </c>
      <c r="AO39" s="487">
        <f t="shared" ca="1" si="26"/>
        <v>525600</v>
      </c>
      <c r="AP39" s="487">
        <f t="shared" ca="1" si="26"/>
        <v>525600</v>
      </c>
      <c r="AQ39" s="487">
        <f t="shared" ca="1" si="26"/>
        <v>525600</v>
      </c>
      <c r="AR39" s="487">
        <f t="shared" ca="1" si="26"/>
        <v>525600</v>
      </c>
      <c r="AS39" s="487">
        <f t="shared" ca="1" si="26"/>
        <v>525600</v>
      </c>
      <c r="AT39" s="487">
        <f t="shared" ca="1" si="26"/>
        <v>525600</v>
      </c>
      <c r="AU39" s="487">
        <f t="shared" ca="1" si="26"/>
        <v>525600</v>
      </c>
      <c r="AV39" s="487">
        <f t="shared" ca="1" si="26"/>
        <v>525600</v>
      </c>
      <c r="AW39" s="487">
        <f t="shared" ca="1" si="26"/>
        <v>525600</v>
      </c>
      <c r="AX39" s="487">
        <f t="shared" ca="1" si="26"/>
        <v>525600</v>
      </c>
      <c r="AY39" s="487">
        <f t="shared" ca="1" si="26"/>
        <v>525600</v>
      </c>
      <c r="AZ39" s="488">
        <f t="shared" ca="1" si="26"/>
        <v>525600</v>
      </c>
    </row>
    <row r="40" spans="1:52" hidden="1" outlineLevel="1">
      <c r="A40" s="355" t="s">
        <v>163</v>
      </c>
      <c r="C40" s="496"/>
      <c r="D40" s="489"/>
      <c r="E40" s="489"/>
      <c r="F40" s="489"/>
      <c r="G40" s="489"/>
      <c r="H40" s="489"/>
      <c r="I40" s="489"/>
      <c r="J40" s="489"/>
      <c r="K40" s="489"/>
      <c r="L40" s="489"/>
      <c r="M40" s="486">
        <f t="shared" ref="M40:AZ40" ca="1" si="27">$M$8*C$5*$C$3</f>
        <v>612000</v>
      </c>
      <c r="N40" s="487">
        <f t="shared" ca="1" si="27"/>
        <v>686087.50594521628</v>
      </c>
      <c r="O40" s="487">
        <f t="shared" ca="1" si="27"/>
        <v>763264.26679725316</v>
      </c>
      <c r="P40" s="487">
        <f t="shared" ca="1" si="27"/>
        <v>840916.01752757817</v>
      </c>
      <c r="Q40" s="487">
        <f t="shared" ca="1" si="27"/>
        <v>877184.95761449845</v>
      </c>
      <c r="R40" s="487">
        <f t="shared" ca="1" si="27"/>
        <v>903600.72530612745</v>
      </c>
      <c r="S40" s="487">
        <f t="shared" ca="1" si="27"/>
        <v>919260.56567380868</v>
      </c>
      <c r="T40" s="487">
        <f t="shared" ca="1" si="27"/>
        <v>924892.37687150179</v>
      </c>
      <c r="U40" s="487">
        <f t="shared" ca="1" si="27"/>
        <v>922510.06235835771</v>
      </c>
      <c r="V40" s="487">
        <f t="shared" ca="1" si="27"/>
        <v>912372.50596814905</v>
      </c>
      <c r="W40" s="487">
        <f t="shared" ca="1" si="27"/>
        <v>895509.82933735405</v>
      </c>
      <c r="X40" s="487">
        <f t="shared" ca="1" si="27"/>
        <v>872461.96162333118</v>
      </c>
      <c r="Y40" s="487">
        <f t="shared" ca="1" si="27"/>
        <v>844207.05952002027</v>
      </c>
      <c r="Z40" s="487">
        <f t="shared" ca="1" si="27"/>
        <v>811941.34543110291</v>
      </c>
      <c r="AA40" s="487">
        <f t="shared" ca="1" si="27"/>
        <v>774811.23526197975</v>
      </c>
      <c r="AB40" s="487">
        <f t="shared" ca="1" si="27"/>
        <v>733039.01204146363</v>
      </c>
      <c r="AC40" s="487">
        <f t="shared" ca="1" si="27"/>
        <v>686583.07062872918</v>
      </c>
      <c r="AD40" s="487">
        <f t="shared" ca="1" si="27"/>
        <v>634639.23975310812</v>
      </c>
      <c r="AE40" s="487">
        <f t="shared" ca="1" si="27"/>
        <v>577719.94012017932</v>
      </c>
      <c r="AF40" s="487">
        <f t="shared" ca="1" si="27"/>
        <v>514627.22230228345</v>
      </c>
      <c r="AG40" s="487">
        <f t="shared" ca="1" si="27"/>
        <v>445874.03820224933</v>
      </c>
      <c r="AH40" s="487">
        <f t="shared" ca="1" si="27"/>
        <v>370517.67055452324</v>
      </c>
      <c r="AI40" s="487">
        <f t="shared" ca="1" si="27"/>
        <v>288407.15588952322</v>
      </c>
      <c r="AJ40" s="487">
        <f t="shared" ca="1" si="27"/>
        <v>244800</v>
      </c>
      <c r="AK40" s="487">
        <f t="shared" ca="1" si="27"/>
        <v>244800</v>
      </c>
      <c r="AL40" s="487">
        <f t="shared" ca="1" si="27"/>
        <v>244800</v>
      </c>
      <c r="AM40" s="487">
        <f t="shared" ca="1" si="27"/>
        <v>244800</v>
      </c>
      <c r="AN40" s="487">
        <f t="shared" ca="1" si="27"/>
        <v>244800</v>
      </c>
      <c r="AO40" s="487">
        <f t="shared" ca="1" si="27"/>
        <v>244800</v>
      </c>
      <c r="AP40" s="487">
        <f t="shared" ca="1" si="27"/>
        <v>244800</v>
      </c>
      <c r="AQ40" s="487">
        <f t="shared" ca="1" si="27"/>
        <v>244800</v>
      </c>
      <c r="AR40" s="487">
        <f t="shared" ca="1" si="27"/>
        <v>244800</v>
      </c>
      <c r="AS40" s="487">
        <f t="shared" ca="1" si="27"/>
        <v>244800</v>
      </c>
      <c r="AT40" s="487">
        <f t="shared" ca="1" si="27"/>
        <v>244800</v>
      </c>
      <c r="AU40" s="487">
        <f t="shared" ca="1" si="27"/>
        <v>244800</v>
      </c>
      <c r="AV40" s="487">
        <f t="shared" ca="1" si="27"/>
        <v>244800</v>
      </c>
      <c r="AW40" s="487">
        <f t="shared" ca="1" si="27"/>
        <v>244800</v>
      </c>
      <c r="AX40" s="487">
        <f t="shared" ca="1" si="27"/>
        <v>244800</v>
      </c>
      <c r="AY40" s="487">
        <f t="shared" ca="1" si="27"/>
        <v>244800</v>
      </c>
      <c r="AZ40" s="488">
        <f t="shared" ca="1" si="27"/>
        <v>244800</v>
      </c>
    </row>
    <row r="41" spans="1:52" hidden="1" outlineLevel="1">
      <c r="A41" s="67" t="s">
        <v>164</v>
      </c>
      <c r="C41" s="496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86">
        <f t="shared" ref="N41:AZ41" ca="1" si="28">$N$8*C$5*$C$3</f>
        <v>252000</v>
      </c>
      <c r="O41" s="487">
        <f t="shared" ca="1" si="28"/>
        <v>282506.62009508902</v>
      </c>
      <c r="P41" s="487">
        <f t="shared" ca="1" si="28"/>
        <v>314285.28632828069</v>
      </c>
      <c r="Q41" s="487">
        <f t="shared" ca="1" si="28"/>
        <v>346259.53662900277</v>
      </c>
      <c r="R41" s="487">
        <f t="shared" ca="1" si="28"/>
        <v>361193.80607655819</v>
      </c>
      <c r="S41" s="487">
        <f t="shared" ca="1" si="28"/>
        <v>372070.88689075841</v>
      </c>
      <c r="T41" s="487">
        <f t="shared" ca="1" si="28"/>
        <v>378519.05645392119</v>
      </c>
      <c r="U41" s="487">
        <f t="shared" ca="1" si="28"/>
        <v>380838.03753532429</v>
      </c>
      <c r="V41" s="487">
        <f t="shared" ca="1" si="28"/>
        <v>379857.08450050023</v>
      </c>
      <c r="W41" s="487">
        <f t="shared" ca="1" si="28"/>
        <v>375682.79657512018</v>
      </c>
      <c r="X41" s="487">
        <f t="shared" ca="1" si="28"/>
        <v>368739.34149185166</v>
      </c>
      <c r="Y41" s="487">
        <f t="shared" ca="1" si="28"/>
        <v>359249.04302137165</v>
      </c>
      <c r="Z41" s="487">
        <f t="shared" ca="1" si="28"/>
        <v>347614.67156706715</v>
      </c>
      <c r="AA41" s="487">
        <f t="shared" ca="1" si="28"/>
        <v>334328.78929516004</v>
      </c>
      <c r="AB41" s="487">
        <f t="shared" ca="1" si="28"/>
        <v>319039.92040199175</v>
      </c>
      <c r="AC41" s="487">
        <f t="shared" ca="1" si="28"/>
        <v>301839.59319354384</v>
      </c>
      <c r="AD41" s="487">
        <f t="shared" ca="1" si="28"/>
        <v>282710.67614124145</v>
      </c>
      <c r="AE41" s="487">
        <f t="shared" ca="1" si="28"/>
        <v>261322.03989833861</v>
      </c>
      <c r="AF41" s="487">
        <f t="shared" ca="1" si="28"/>
        <v>237884.68122595618</v>
      </c>
      <c r="AG41" s="487">
        <f t="shared" ca="1" si="28"/>
        <v>211905.32683035199</v>
      </c>
      <c r="AH41" s="487">
        <f t="shared" ca="1" si="28"/>
        <v>183595.19220092619</v>
      </c>
      <c r="AI41" s="487">
        <f t="shared" ca="1" si="28"/>
        <v>152566.09964009782</v>
      </c>
      <c r="AJ41" s="487">
        <f t="shared" ca="1" si="28"/>
        <v>118755.88771921546</v>
      </c>
      <c r="AK41" s="487">
        <f t="shared" ca="1" si="28"/>
        <v>100800</v>
      </c>
      <c r="AL41" s="487">
        <f t="shared" ca="1" si="28"/>
        <v>100800</v>
      </c>
      <c r="AM41" s="487">
        <f t="shared" ca="1" si="28"/>
        <v>100800</v>
      </c>
      <c r="AN41" s="487">
        <f t="shared" ca="1" si="28"/>
        <v>100800</v>
      </c>
      <c r="AO41" s="487">
        <f t="shared" ca="1" si="28"/>
        <v>100800</v>
      </c>
      <c r="AP41" s="487">
        <f t="shared" ca="1" si="28"/>
        <v>100800</v>
      </c>
      <c r="AQ41" s="487">
        <f t="shared" ca="1" si="28"/>
        <v>100800</v>
      </c>
      <c r="AR41" s="487">
        <f t="shared" ca="1" si="28"/>
        <v>100800</v>
      </c>
      <c r="AS41" s="487">
        <f t="shared" ca="1" si="28"/>
        <v>100800</v>
      </c>
      <c r="AT41" s="487">
        <f t="shared" ca="1" si="28"/>
        <v>100800</v>
      </c>
      <c r="AU41" s="487">
        <f t="shared" ca="1" si="28"/>
        <v>100800</v>
      </c>
      <c r="AV41" s="487">
        <f t="shared" ca="1" si="28"/>
        <v>100800</v>
      </c>
      <c r="AW41" s="487">
        <f t="shared" ca="1" si="28"/>
        <v>100800</v>
      </c>
      <c r="AX41" s="487">
        <f t="shared" ca="1" si="28"/>
        <v>100800</v>
      </c>
      <c r="AY41" s="487">
        <f t="shared" ca="1" si="28"/>
        <v>100800</v>
      </c>
      <c r="AZ41" s="488">
        <f t="shared" ca="1" si="28"/>
        <v>100800</v>
      </c>
    </row>
    <row r="42" spans="1:52" hidden="1" outlineLevel="1">
      <c r="A42" s="355" t="s">
        <v>165</v>
      </c>
      <c r="C42" s="496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89"/>
      <c r="O42" s="486">
        <f t="shared" ref="O42:AZ42" ca="1" si="29">$O$8*C$5*$C$3</f>
        <v>54000</v>
      </c>
      <c r="P42" s="487">
        <f t="shared" ca="1" si="29"/>
        <v>60537.132877519085</v>
      </c>
      <c r="Q42" s="487">
        <f t="shared" ca="1" si="29"/>
        <v>67346.847070345859</v>
      </c>
      <c r="R42" s="487">
        <f t="shared" ca="1" si="29"/>
        <v>74198.472134786294</v>
      </c>
      <c r="S42" s="487">
        <f t="shared" ca="1" si="29"/>
        <v>77398.672730691047</v>
      </c>
      <c r="T42" s="487">
        <f t="shared" ca="1" si="29"/>
        <v>79729.475762305374</v>
      </c>
      <c r="U42" s="487">
        <f t="shared" ca="1" si="29"/>
        <v>81111.226382983121</v>
      </c>
      <c r="V42" s="487">
        <f t="shared" ca="1" si="29"/>
        <v>81608.150900426626</v>
      </c>
      <c r="W42" s="487">
        <f t="shared" ca="1" si="29"/>
        <v>81397.946678678622</v>
      </c>
      <c r="X42" s="487">
        <f t="shared" ca="1" si="29"/>
        <v>80503.456408954327</v>
      </c>
      <c r="Y42" s="487">
        <f t="shared" ca="1" si="29"/>
        <v>79015.573176825346</v>
      </c>
      <c r="Z42" s="487">
        <f t="shared" ca="1" si="29"/>
        <v>76981.937790293916</v>
      </c>
      <c r="AA42" s="487">
        <f t="shared" ca="1" si="29"/>
        <v>74488.858192942964</v>
      </c>
      <c r="AB42" s="487">
        <f t="shared" ca="1" si="29"/>
        <v>71641.883420391445</v>
      </c>
      <c r="AC42" s="487">
        <f t="shared" ca="1" si="29"/>
        <v>68365.697228998222</v>
      </c>
      <c r="AD42" s="487">
        <f t="shared" ca="1" si="29"/>
        <v>64679.912827187974</v>
      </c>
      <c r="AE42" s="487">
        <f t="shared" ca="1" si="29"/>
        <v>60580.859173123165</v>
      </c>
      <c r="AF42" s="487">
        <f t="shared" ca="1" si="29"/>
        <v>55997.579978215421</v>
      </c>
      <c r="AG42" s="487">
        <f t="shared" ca="1" si="29"/>
        <v>50975.288834133462</v>
      </c>
      <c r="AH42" s="487">
        <f t="shared" ca="1" si="29"/>
        <v>45408.284320789709</v>
      </c>
      <c r="AI42" s="487">
        <f t="shared" ca="1" si="29"/>
        <v>39341.826900198466</v>
      </c>
      <c r="AJ42" s="487">
        <f t="shared" ca="1" si="29"/>
        <v>32692.735637163816</v>
      </c>
      <c r="AK42" s="487">
        <f t="shared" ca="1" si="29"/>
        <v>25447.690225546168</v>
      </c>
      <c r="AL42" s="487">
        <f t="shared" ca="1" si="29"/>
        <v>21600</v>
      </c>
      <c r="AM42" s="487">
        <f t="shared" ca="1" si="29"/>
        <v>21600</v>
      </c>
      <c r="AN42" s="487">
        <f t="shared" ca="1" si="29"/>
        <v>21600</v>
      </c>
      <c r="AO42" s="487">
        <f t="shared" ca="1" si="29"/>
        <v>21600</v>
      </c>
      <c r="AP42" s="487">
        <f t="shared" ca="1" si="29"/>
        <v>21600</v>
      </c>
      <c r="AQ42" s="487">
        <f t="shared" ca="1" si="29"/>
        <v>21600</v>
      </c>
      <c r="AR42" s="487">
        <f t="shared" ca="1" si="29"/>
        <v>21600</v>
      </c>
      <c r="AS42" s="487">
        <f t="shared" ca="1" si="29"/>
        <v>21600</v>
      </c>
      <c r="AT42" s="487">
        <f t="shared" ca="1" si="29"/>
        <v>21600</v>
      </c>
      <c r="AU42" s="487">
        <f t="shared" ca="1" si="29"/>
        <v>21600</v>
      </c>
      <c r="AV42" s="487">
        <f t="shared" ca="1" si="29"/>
        <v>21600</v>
      </c>
      <c r="AW42" s="487">
        <f t="shared" ca="1" si="29"/>
        <v>21600</v>
      </c>
      <c r="AX42" s="487">
        <f t="shared" ca="1" si="29"/>
        <v>21600</v>
      </c>
      <c r="AY42" s="487">
        <f t="shared" ca="1" si="29"/>
        <v>21600</v>
      </c>
      <c r="AZ42" s="488">
        <f t="shared" ca="1" si="29"/>
        <v>21600</v>
      </c>
    </row>
    <row r="43" spans="1:52" hidden="1" outlineLevel="1">
      <c r="A43" s="67" t="s">
        <v>166</v>
      </c>
      <c r="C43" s="496"/>
      <c r="D43" s="489"/>
      <c r="E43" s="489"/>
      <c r="F43" s="489"/>
      <c r="G43" s="489"/>
      <c r="H43" s="489"/>
      <c r="I43" s="489"/>
      <c r="J43" s="489"/>
      <c r="K43" s="489"/>
      <c r="L43" s="497"/>
      <c r="M43" s="497"/>
      <c r="N43" s="497"/>
      <c r="O43" s="497"/>
      <c r="P43" s="486">
        <f t="shared" ref="P43:AZ43" ca="1" si="30">$P$8*C$5*$C$3</f>
        <v>0</v>
      </c>
      <c r="Q43" s="487">
        <f t="shared" ca="1" si="30"/>
        <v>0</v>
      </c>
      <c r="R43" s="487">
        <f t="shared" ca="1" si="30"/>
        <v>0</v>
      </c>
      <c r="S43" s="487">
        <f t="shared" ca="1" si="30"/>
        <v>0</v>
      </c>
      <c r="T43" s="487">
        <f t="shared" ca="1" si="30"/>
        <v>0</v>
      </c>
      <c r="U43" s="487">
        <f t="shared" ca="1" si="30"/>
        <v>0</v>
      </c>
      <c r="V43" s="487">
        <f t="shared" ca="1" si="30"/>
        <v>0</v>
      </c>
      <c r="W43" s="487">
        <f t="shared" ca="1" si="30"/>
        <v>0</v>
      </c>
      <c r="X43" s="487">
        <f t="shared" ca="1" si="30"/>
        <v>0</v>
      </c>
      <c r="Y43" s="487">
        <f t="shared" ca="1" si="30"/>
        <v>0</v>
      </c>
      <c r="Z43" s="487">
        <f t="shared" ca="1" si="30"/>
        <v>0</v>
      </c>
      <c r="AA43" s="487">
        <f t="shared" ca="1" si="30"/>
        <v>0</v>
      </c>
      <c r="AB43" s="487">
        <f t="shared" ca="1" si="30"/>
        <v>0</v>
      </c>
      <c r="AC43" s="487">
        <f t="shared" ca="1" si="30"/>
        <v>0</v>
      </c>
      <c r="AD43" s="487">
        <f t="shared" ca="1" si="30"/>
        <v>0</v>
      </c>
      <c r="AE43" s="487">
        <f t="shared" ca="1" si="30"/>
        <v>0</v>
      </c>
      <c r="AF43" s="487">
        <f t="shared" ca="1" si="30"/>
        <v>0</v>
      </c>
      <c r="AG43" s="487">
        <f t="shared" ca="1" si="30"/>
        <v>0</v>
      </c>
      <c r="AH43" s="487">
        <f t="shared" ca="1" si="30"/>
        <v>0</v>
      </c>
      <c r="AI43" s="487">
        <f t="shared" ca="1" si="30"/>
        <v>0</v>
      </c>
      <c r="AJ43" s="487">
        <f t="shared" ca="1" si="30"/>
        <v>0</v>
      </c>
      <c r="AK43" s="487">
        <f t="shared" ca="1" si="30"/>
        <v>0</v>
      </c>
      <c r="AL43" s="487">
        <f t="shared" ca="1" si="30"/>
        <v>0</v>
      </c>
      <c r="AM43" s="487">
        <f t="shared" ca="1" si="30"/>
        <v>0</v>
      </c>
      <c r="AN43" s="487">
        <f t="shared" ca="1" si="30"/>
        <v>0</v>
      </c>
      <c r="AO43" s="487">
        <f t="shared" ca="1" si="30"/>
        <v>0</v>
      </c>
      <c r="AP43" s="487">
        <f t="shared" ca="1" si="30"/>
        <v>0</v>
      </c>
      <c r="AQ43" s="487">
        <f t="shared" ca="1" si="30"/>
        <v>0</v>
      </c>
      <c r="AR43" s="487">
        <f t="shared" ca="1" si="30"/>
        <v>0</v>
      </c>
      <c r="AS43" s="487">
        <f t="shared" ca="1" si="30"/>
        <v>0</v>
      </c>
      <c r="AT43" s="487">
        <f t="shared" ca="1" si="30"/>
        <v>0</v>
      </c>
      <c r="AU43" s="487">
        <f t="shared" ca="1" si="30"/>
        <v>0</v>
      </c>
      <c r="AV43" s="487">
        <f t="shared" ca="1" si="30"/>
        <v>0</v>
      </c>
      <c r="AW43" s="487">
        <f t="shared" ca="1" si="30"/>
        <v>0</v>
      </c>
      <c r="AX43" s="487">
        <f t="shared" ca="1" si="30"/>
        <v>0</v>
      </c>
      <c r="AY43" s="487">
        <f t="shared" ca="1" si="30"/>
        <v>0</v>
      </c>
      <c r="AZ43" s="488">
        <f t="shared" ca="1" si="30"/>
        <v>0</v>
      </c>
    </row>
    <row r="44" spans="1:52" hidden="1" outlineLevel="1">
      <c r="A44" s="355" t="s">
        <v>167</v>
      </c>
      <c r="C44" s="498"/>
      <c r="D44" s="491"/>
      <c r="E44" s="491"/>
      <c r="F44" s="491"/>
      <c r="G44" s="491"/>
      <c r="H44" s="491"/>
      <c r="I44" s="491"/>
      <c r="J44" s="491"/>
      <c r="K44" s="491"/>
      <c r="L44" s="499"/>
      <c r="M44" s="499"/>
      <c r="N44" s="499"/>
      <c r="O44" s="499"/>
      <c r="P44" s="491"/>
      <c r="Q44" s="492">
        <f t="shared" ref="Q44:AZ44" ca="1" si="31">$Q$8*C$5*$C$3</f>
        <v>0</v>
      </c>
      <c r="R44" s="493">
        <f t="shared" ca="1" si="31"/>
        <v>0</v>
      </c>
      <c r="S44" s="493">
        <f t="shared" ca="1" si="31"/>
        <v>0</v>
      </c>
      <c r="T44" s="493">
        <f t="shared" ca="1" si="31"/>
        <v>0</v>
      </c>
      <c r="U44" s="493">
        <f t="shared" ca="1" si="31"/>
        <v>0</v>
      </c>
      <c r="V44" s="493">
        <f t="shared" ca="1" si="31"/>
        <v>0</v>
      </c>
      <c r="W44" s="493">
        <f t="shared" ca="1" si="31"/>
        <v>0</v>
      </c>
      <c r="X44" s="493">
        <f t="shared" ca="1" si="31"/>
        <v>0</v>
      </c>
      <c r="Y44" s="493">
        <f t="shared" ca="1" si="31"/>
        <v>0</v>
      </c>
      <c r="Z44" s="493">
        <f t="shared" ca="1" si="31"/>
        <v>0</v>
      </c>
      <c r="AA44" s="493">
        <f t="shared" ca="1" si="31"/>
        <v>0</v>
      </c>
      <c r="AB44" s="493">
        <f t="shared" ca="1" si="31"/>
        <v>0</v>
      </c>
      <c r="AC44" s="493">
        <f t="shared" ca="1" si="31"/>
        <v>0</v>
      </c>
      <c r="AD44" s="493">
        <f t="shared" ca="1" si="31"/>
        <v>0</v>
      </c>
      <c r="AE44" s="493">
        <f t="shared" ca="1" si="31"/>
        <v>0</v>
      </c>
      <c r="AF44" s="493">
        <f t="shared" ca="1" si="31"/>
        <v>0</v>
      </c>
      <c r="AG44" s="493">
        <f t="shared" ca="1" si="31"/>
        <v>0</v>
      </c>
      <c r="AH44" s="493">
        <f t="shared" ca="1" si="31"/>
        <v>0</v>
      </c>
      <c r="AI44" s="493">
        <f t="shared" ca="1" si="31"/>
        <v>0</v>
      </c>
      <c r="AJ44" s="493">
        <f t="shared" ca="1" si="31"/>
        <v>0</v>
      </c>
      <c r="AK44" s="493">
        <f t="shared" ca="1" si="31"/>
        <v>0</v>
      </c>
      <c r="AL44" s="493">
        <f t="shared" ca="1" si="31"/>
        <v>0</v>
      </c>
      <c r="AM44" s="493">
        <f t="shared" ca="1" si="31"/>
        <v>0</v>
      </c>
      <c r="AN44" s="493">
        <f t="shared" ca="1" si="31"/>
        <v>0</v>
      </c>
      <c r="AO44" s="493">
        <f t="shared" ca="1" si="31"/>
        <v>0</v>
      </c>
      <c r="AP44" s="493">
        <f t="shared" ca="1" si="31"/>
        <v>0</v>
      </c>
      <c r="AQ44" s="493">
        <f t="shared" ca="1" si="31"/>
        <v>0</v>
      </c>
      <c r="AR44" s="493">
        <f t="shared" ca="1" si="31"/>
        <v>0</v>
      </c>
      <c r="AS44" s="493">
        <f t="shared" ca="1" si="31"/>
        <v>0</v>
      </c>
      <c r="AT44" s="493">
        <f t="shared" ca="1" si="31"/>
        <v>0</v>
      </c>
      <c r="AU44" s="493">
        <f t="shared" ca="1" si="31"/>
        <v>0</v>
      </c>
      <c r="AV44" s="493">
        <f t="shared" ca="1" si="31"/>
        <v>0</v>
      </c>
      <c r="AW44" s="493">
        <f t="shared" ca="1" si="31"/>
        <v>0</v>
      </c>
      <c r="AX44" s="493">
        <f t="shared" ca="1" si="31"/>
        <v>0</v>
      </c>
      <c r="AY44" s="493">
        <f t="shared" ca="1" si="31"/>
        <v>0</v>
      </c>
      <c r="AZ44" s="494">
        <f t="shared" ca="1" si="31"/>
        <v>0</v>
      </c>
    </row>
    <row r="45" spans="1:52" hidden="1" outlineLevel="1">
      <c r="A45" s="376"/>
      <c r="B45" s="314"/>
      <c r="C45" s="377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272"/>
      <c r="Q45" s="378"/>
      <c r="R45" s="378"/>
      <c r="S45" s="378"/>
      <c r="T45" s="378"/>
      <c r="U45" s="378"/>
      <c r="V45" s="378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</row>
    <row r="46" spans="1:52" hidden="1" outlineLevel="1">
      <c r="A46" s="83" t="s">
        <v>168</v>
      </c>
      <c r="W46" s="271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</row>
    <row r="47" spans="1:52" hidden="1" outlineLevel="1">
      <c r="A47" s="67" t="s">
        <v>151</v>
      </c>
      <c r="C47" s="379">
        <f>C$9</f>
        <v>0.35000000000000009</v>
      </c>
      <c r="D47" s="380">
        <f t="shared" ref="D47:AG54" si="32">D$9</f>
        <v>0</v>
      </c>
      <c r="E47" s="380">
        <f t="shared" si="32"/>
        <v>0.05</v>
      </c>
      <c r="F47" s="380">
        <f t="shared" si="32"/>
        <v>0.05</v>
      </c>
      <c r="G47" s="380">
        <f t="shared" si="32"/>
        <v>0</v>
      </c>
      <c r="H47" s="380">
        <f t="shared" si="32"/>
        <v>0.1</v>
      </c>
      <c r="I47" s="380">
        <f t="shared" si="32"/>
        <v>0.05</v>
      </c>
      <c r="J47" s="380">
        <f t="shared" si="32"/>
        <v>0.05</v>
      </c>
      <c r="K47" s="380">
        <f t="shared" si="32"/>
        <v>0.1</v>
      </c>
      <c r="L47" s="380">
        <f t="shared" si="32"/>
        <v>0.05</v>
      </c>
      <c r="M47" s="380">
        <f t="shared" si="32"/>
        <v>0.05</v>
      </c>
      <c r="N47" s="380">
        <f t="shared" si="32"/>
        <v>0</v>
      </c>
      <c r="O47" s="380">
        <f t="shared" si="32"/>
        <v>0</v>
      </c>
      <c r="P47" s="380">
        <f t="shared" si="32"/>
        <v>0.05</v>
      </c>
      <c r="Q47" s="380">
        <f t="shared" si="32"/>
        <v>0</v>
      </c>
      <c r="R47" s="380">
        <f t="shared" si="32"/>
        <v>0</v>
      </c>
      <c r="S47" s="380">
        <f t="shared" si="32"/>
        <v>0</v>
      </c>
      <c r="T47" s="380">
        <f t="shared" si="32"/>
        <v>0</v>
      </c>
      <c r="U47" s="380">
        <f t="shared" si="32"/>
        <v>0</v>
      </c>
      <c r="V47" s="380">
        <f t="shared" si="32"/>
        <v>0</v>
      </c>
      <c r="W47" s="381">
        <f t="shared" si="32"/>
        <v>0</v>
      </c>
      <c r="X47" s="381">
        <f t="shared" si="32"/>
        <v>0</v>
      </c>
      <c r="Y47" s="381">
        <f t="shared" si="32"/>
        <v>0</v>
      </c>
      <c r="Z47" s="381">
        <f t="shared" si="32"/>
        <v>0</v>
      </c>
      <c r="AA47" s="381">
        <f t="shared" si="32"/>
        <v>0</v>
      </c>
      <c r="AB47" s="381">
        <f t="shared" si="32"/>
        <v>0</v>
      </c>
      <c r="AC47" s="381">
        <f t="shared" si="32"/>
        <v>0</v>
      </c>
      <c r="AD47" s="381">
        <f t="shared" si="32"/>
        <v>0</v>
      </c>
      <c r="AE47" s="381">
        <f t="shared" si="32"/>
        <v>0</v>
      </c>
      <c r="AF47" s="381">
        <f t="shared" si="32"/>
        <v>0</v>
      </c>
      <c r="AG47" s="381">
        <f t="shared" si="32"/>
        <v>0</v>
      </c>
      <c r="AH47" s="381">
        <f t="shared" ref="AG47:AZ56" si="33">AH$9</f>
        <v>0</v>
      </c>
      <c r="AI47" s="381">
        <f t="shared" si="33"/>
        <v>0</v>
      </c>
      <c r="AJ47" s="381">
        <f t="shared" si="33"/>
        <v>0</v>
      </c>
      <c r="AK47" s="381">
        <f t="shared" si="33"/>
        <v>0</v>
      </c>
      <c r="AL47" s="381">
        <f t="shared" si="33"/>
        <v>0</v>
      </c>
      <c r="AM47" s="381">
        <f t="shared" si="33"/>
        <v>0</v>
      </c>
      <c r="AN47" s="381">
        <f t="shared" si="33"/>
        <v>0</v>
      </c>
      <c r="AO47" s="381">
        <f t="shared" si="33"/>
        <v>0</v>
      </c>
      <c r="AP47" s="381">
        <f t="shared" si="33"/>
        <v>0</v>
      </c>
      <c r="AQ47" s="381">
        <f t="shared" si="33"/>
        <v>0</v>
      </c>
      <c r="AR47" s="381">
        <f t="shared" si="33"/>
        <v>0</v>
      </c>
      <c r="AS47" s="381">
        <f t="shared" si="33"/>
        <v>0</v>
      </c>
      <c r="AT47" s="381">
        <f t="shared" si="33"/>
        <v>0</v>
      </c>
      <c r="AU47" s="381">
        <f t="shared" si="33"/>
        <v>0</v>
      </c>
      <c r="AV47" s="381">
        <f t="shared" si="33"/>
        <v>0</v>
      </c>
      <c r="AW47" s="381">
        <f t="shared" si="33"/>
        <v>0</v>
      </c>
      <c r="AX47" s="381">
        <f t="shared" si="33"/>
        <v>0</v>
      </c>
      <c r="AY47" s="381">
        <f t="shared" si="33"/>
        <v>0</v>
      </c>
      <c r="AZ47" s="382">
        <f t="shared" si="33"/>
        <v>0</v>
      </c>
    </row>
    <row r="48" spans="1:52" hidden="1" outlineLevel="1">
      <c r="A48" s="67" t="s">
        <v>152</v>
      </c>
      <c r="C48" s="383"/>
      <c r="D48" s="384">
        <f>SUM(C$9:D$9)</f>
        <v>0.35000000000000009</v>
      </c>
      <c r="E48" s="385">
        <f t="shared" si="32"/>
        <v>0.05</v>
      </c>
      <c r="F48" s="385">
        <f t="shared" si="32"/>
        <v>0.05</v>
      </c>
      <c r="G48" s="385">
        <f t="shared" si="32"/>
        <v>0</v>
      </c>
      <c r="H48" s="385">
        <f t="shared" si="32"/>
        <v>0.1</v>
      </c>
      <c r="I48" s="385">
        <f t="shared" si="32"/>
        <v>0.05</v>
      </c>
      <c r="J48" s="385">
        <f t="shared" si="32"/>
        <v>0.05</v>
      </c>
      <c r="K48" s="385">
        <f t="shared" si="32"/>
        <v>0.1</v>
      </c>
      <c r="L48" s="385">
        <f t="shared" si="32"/>
        <v>0.05</v>
      </c>
      <c r="M48" s="385">
        <f t="shared" si="32"/>
        <v>0.05</v>
      </c>
      <c r="N48" s="385">
        <f t="shared" si="32"/>
        <v>0</v>
      </c>
      <c r="O48" s="385">
        <f t="shared" si="32"/>
        <v>0</v>
      </c>
      <c r="P48" s="385">
        <f t="shared" si="32"/>
        <v>0.05</v>
      </c>
      <c r="Q48" s="385">
        <f t="shared" si="32"/>
        <v>0</v>
      </c>
      <c r="R48" s="385">
        <f t="shared" si="32"/>
        <v>0</v>
      </c>
      <c r="S48" s="385">
        <f t="shared" si="32"/>
        <v>0</v>
      </c>
      <c r="T48" s="385">
        <f t="shared" si="32"/>
        <v>0</v>
      </c>
      <c r="U48" s="385">
        <f t="shared" si="32"/>
        <v>0</v>
      </c>
      <c r="V48" s="385">
        <f t="shared" si="32"/>
        <v>0</v>
      </c>
      <c r="W48" s="18">
        <f t="shared" si="32"/>
        <v>0</v>
      </c>
      <c r="X48" s="18">
        <f t="shared" si="32"/>
        <v>0</v>
      </c>
      <c r="Y48" s="18">
        <f t="shared" si="32"/>
        <v>0</v>
      </c>
      <c r="Z48" s="18">
        <f t="shared" si="32"/>
        <v>0</v>
      </c>
      <c r="AA48" s="18">
        <f t="shared" si="32"/>
        <v>0</v>
      </c>
      <c r="AB48" s="18">
        <f t="shared" si="32"/>
        <v>0</v>
      </c>
      <c r="AC48" s="18">
        <f t="shared" si="32"/>
        <v>0</v>
      </c>
      <c r="AD48" s="18">
        <f t="shared" si="32"/>
        <v>0</v>
      </c>
      <c r="AE48" s="18">
        <f t="shared" si="32"/>
        <v>0</v>
      </c>
      <c r="AF48" s="18">
        <f t="shared" si="32"/>
        <v>0</v>
      </c>
      <c r="AG48" s="18">
        <f t="shared" si="33"/>
        <v>0</v>
      </c>
      <c r="AH48" s="18">
        <f t="shared" si="33"/>
        <v>0</v>
      </c>
      <c r="AI48" s="18">
        <f t="shared" si="33"/>
        <v>0</v>
      </c>
      <c r="AJ48" s="18">
        <f t="shared" si="33"/>
        <v>0</v>
      </c>
      <c r="AK48" s="18">
        <f t="shared" si="33"/>
        <v>0</v>
      </c>
      <c r="AL48" s="18">
        <f t="shared" si="33"/>
        <v>0</v>
      </c>
      <c r="AM48" s="18">
        <f t="shared" si="33"/>
        <v>0</v>
      </c>
      <c r="AN48" s="18">
        <f t="shared" si="33"/>
        <v>0</v>
      </c>
      <c r="AO48" s="18">
        <f t="shared" si="33"/>
        <v>0</v>
      </c>
      <c r="AP48" s="18">
        <f t="shared" si="33"/>
        <v>0</v>
      </c>
      <c r="AQ48" s="18">
        <f t="shared" si="33"/>
        <v>0</v>
      </c>
      <c r="AR48" s="18">
        <f t="shared" si="33"/>
        <v>0</v>
      </c>
      <c r="AS48" s="18">
        <f t="shared" si="33"/>
        <v>0</v>
      </c>
      <c r="AT48" s="18">
        <f t="shared" si="33"/>
        <v>0</v>
      </c>
      <c r="AU48" s="18">
        <f t="shared" si="33"/>
        <v>0</v>
      </c>
      <c r="AV48" s="18">
        <f t="shared" si="33"/>
        <v>0</v>
      </c>
      <c r="AW48" s="18">
        <f t="shared" si="33"/>
        <v>0</v>
      </c>
      <c r="AX48" s="18">
        <f t="shared" si="33"/>
        <v>0</v>
      </c>
      <c r="AY48" s="18">
        <f t="shared" si="33"/>
        <v>0</v>
      </c>
      <c r="AZ48" s="386">
        <f t="shared" si="33"/>
        <v>0</v>
      </c>
    </row>
    <row r="49" spans="1:52" hidden="1" outlineLevel="1">
      <c r="A49" s="67" t="s">
        <v>153</v>
      </c>
      <c r="C49" s="383"/>
      <c r="D49" s="387"/>
      <c r="E49" s="384">
        <f>SUM(C$9:E$9)</f>
        <v>0.40000000000000008</v>
      </c>
      <c r="F49" s="385">
        <f t="shared" si="32"/>
        <v>0.05</v>
      </c>
      <c r="G49" s="385">
        <f t="shared" si="32"/>
        <v>0</v>
      </c>
      <c r="H49" s="385">
        <f t="shared" si="32"/>
        <v>0.1</v>
      </c>
      <c r="I49" s="385">
        <f t="shared" si="32"/>
        <v>0.05</v>
      </c>
      <c r="J49" s="385">
        <f t="shared" si="32"/>
        <v>0.05</v>
      </c>
      <c r="K49" s="385">
        <f t="shared" si="32"/>
        <v>0.1</v>
      </c>
      <c r="L49" s="385">
        <f t="shared" si="32"/>
        <v>0.05</v>
      </c>
      <c r="M49" s="385">
        <f t="shared" si="32"/>
        <v>0.05</v>
      </c>
      <c r="N49" s="385">
        <f t="shared" si="32"/>
        <v>0</v>
      </c>
      <c r="O49" s="385">
        <f t="shared" si="32"/>
        <v>0</v>
      </c>
      <c r="P49" s="385">
        <f t="shared" si="32"/>
        <v>0.05</v>
      </c>
      <c r="Q49" s="385">
        <f t="shared" si="32"/>
        <v>0</v>
      </c>
      <c r="R49" s="385">
        <f t="shared" si="32"/>
        <v>0</v>
      </c>
      <c r="S49" s="385">
        <f t="shared" si="32"/>
        <v>0</v>
      </c>
      <c r="T49" s="385">
        <f t="shared" si="32"/>
        <v>0</v>
      </c>
      <c r="U49" s="385">
        <f t="shared" si="32"/>
        <v>0</v>
      </c>
      <c r="V49" s="385">
        <f t="shared" si="32"/>
        <v>0</v>
      </c>
      <c r="W49" s="18">
        <f t="shared" si="32"/>
        <v>0</v>
      </c>
      <c r="X49" s="18">
        <f t="shared" si="32"/>
        <v>0</v>
      </c>
      <c r="Y49" s="18">
        <f t="shared" si="32"/>
        <v>0</v>
      </c>
      <c r="Z49" s="18">
        <f t="shared" si="32"/>
        <v>0</v>
      </c>
      <c r="AA49" s="18">
        <f t="shared" si="32"/>
        <v>0</v>
      </c>
      <c r="AB49" s="18">
        <f t="shared" si="32"/>
        <v>0</v>
      </c>
      <c r="AC49" s="18">
        <f t="shared" si="32"/>
        <v>0</v>
      </c>
      <c r="AD49" s="18">
        <f t="shared" si="32"/>
        <v>0</v>
      </c>
      <c r="AE49" s="18">
        <f t="shared" si="32"/>
        <v>0</v>
      </c>
      <c r="AF49" s="18">
        <f t="shared" si="32"/>
        <v>0</v>
      </c>
      <c r="AG49" s="18">
        <f t="shared" si="33"/>
        <v>0</v>
      </c>
      <c r="AH49" s="18">
        <f t="shared" si="33"/>
        <v>0</v>
      </c>
      <c r="AI49" s="18">
        <f t="shared" si="33"/>
        <v>0</v>
      </c>
      <c r="AJ49" s="18">
        <f t="shared" si="33"/>
        <v>0</v>
      </c>
      <c r="AK49" s="18">
        <f t="shared" si="33"/>
        <v>0</v>
      </c>
      <c r="AL49" s="18">
        <f t="shared" si="33"/>
        <v>0</v>
      </c>
      <c r="AM49" s="18">
        <f t="shared" si="33"/>
        <v>0</v>
      </c>
      <c r="AN49" s="18">
        <f t="shared" si="33"/>
        <v>0</v>
      </c>
      <c r="AO49" s="18">
        <f t="shared" si="33"/>
        <v>0</v>
      </c>
      <c r="AP49" s="18">
        <f t="shared" si="33"/>
        <v>0</v>
      </c>
      <c r="AQ49" s="18">
        <f t="shared" si="33"/>
        <v>0</v>
      </c>
      <c r="AR49" s="18">
        <f t="shared" si="33"/>
        <v>0</v>
      </c>
      <c r="AS49" s="18">
        <f t="shared" si="33"/>
        <v>0</v>
      </c>
      <c r="AT49" s="18">
        <f t="shared" si="33"/>
        <v>0</v>
      </c>
      <c r="AU49" s="18">
        <f t="shared" si="33"/>
        <v>0</v>
      </c>
      <c r="AV49" s="18">
        <f t="shared" si="33"/>
        <v>0</v>
      </c>
      <c r="AW49" s="18">
        <f t="shared" si="33"/>
        <v>0</v>
      </c>
      <c r="AX49" s="18">
        <f t="shared" si="33"/>
        <v>0</v>
      </c>
      <c r="AY49" s="18">
        <f t="shared" si="33"/>
        <v>0</v>
      </c>
      <c r="AZ49" s="386">
        <f t="shared" si="33"/>
        <v>0</v>
      </c>
    </row>
    <row r="50" spans="1:52" hidden="1" outlineLevel="1">
      <c r="A50" s="67" t="s">
        <v>154</v>
      </c>
      <c r="C50" s="383"/>
      <c r="D50" s="387"/>
      <c r="E50" s="387"/>
      <c r="F50" s="384">
        <f>SUM(C$9:F$9)</f>
        <v>0.45000000000000007</v>
      </c>
      <c r="G50" s="385">
        <f t="shared" si="32"/>
        <v>0</v>
      </c>
      <c r="H50" s="385">
        <f t="shared" si="32"/>
        <v>0.1</v>
      </c>
      <c r="I50" s="385">
        <f t="shared" si="32"/>
        <v>0.05</v>
      </c>
      <c r="J50" s="385">
        <f t="shared" si="32"/>
        <v>0.05</v>
      </c>
      <c r="K50" s="385">
        <f t="shared" si="32"/>
        <v>0.1</v>
      </c>
      <c r="L50" s="385">
        <f t="shared" si="32"/>
        <v>0.05</v>
      </c>
      <c r="M50" s="385">
        <f t="shared" si="32"/>
        <v>0.05</v>
      </c>
      <c r="N50" s="385">
        <f t="shared" si="32"/>
        <v>0</v>
      </c>
      <c r="O50" s="385">
        <f t="shared" si="32"/>
        <v>0</v>
      </c>
      <c r="P50" s="385">
        <f t="shared" si="32"/>
        <v>0.05</v>
      </c>
      <c r="Q50" s="385">
        <f t="shared" si="32"/>
        <v>0</v>
      </c>
      <c r="R50" s="385">
        <f t="shared" si="32"/>
        <v>0</v>
      </c>
      <c r="S50" s="385">
        <f t="shared" ref="S50:AH56" si="34">S$9</f>
        <v>0</v>
      </c>
      <c r="T50" s="385">
        <f t="shared" si="34"/>
        <v>0</v>
      </c>
      <c r="U50" s="385">
        <f t="shared" si="34"/>
        <v>0</v>
      </c>
      <c r="V50" s="385">
        <f t="shared" si="34"/>
        <v>0</v>
      </c>
      <c r="W50" s="18">
        <f t="shared" si="34"/>
        <v>0</v>
      </c>
      <c r="X50" s="18">
        <f t="shared" si="34"/>
        <v>0</v>
      </c>
      <c r="Y50" s="18">
        <f t="shared" si="34"/>
        <v>0</v>
      </c>
      <c r="Z50" s="18">
        <f t="shared" si="34"/>
        <v>0</v>
      </c>
      <c r="AA50" s="18">
        <f t="shared" si="34"/>
        <v>0</v>
      </c>
      <c r="AB50" s="18">
        <f t="shared" si="34"/>
        <v>0</v>
      </c>
      <c r="AC50" s="18">
        <f t="shared" si="34"/>
        <v>0</v>
      </c>
      <c r="AD50" s="18">
        <f t="shared" si="34"/>
        <v>0</v>
      </c>
      <c r="AE50" s="18">
        <f t="shared" si="34"/>
        <v>0</v>
      </c>
      <c r="AF50" s="18">
        <f t="shared" si="34"/>
        <v>0</v>
      </c>
      <c r="AG50" s="18">
        <f t="shared" si="34"/>
        <v>0</v>
      </c>
      <c r="AH50" s="18">
        <f t="shared" si="34"/>
        <v>0</v>
      </c>
      <c r="AI50" s="18">
        <f t="shared" si="33"/>
        <v>0</v>
      </c>
      <c r="AJ50" s="18">
        <f t="shared" si="33"/>
        <v>0</v>
      </c>
      <c r="AK50" s="18">
        <f t="shared" si="33"/>
        <v>0</v>
      </c>
      <c r="AL50" s="18">
        <f t="shared" si="33"/>
        <v>0</v>
      </c>
      <c r="AM50" s="18">
        <f t="shared" si="33"/>
        <v>0</v>
      </c>
      <c r="AN50" s="18">
        <f t="shared" si="33"/>
        <v>0</v>
      </c>
      <c r="AO50" s="18">
        <f t="shared" si="33"/>
        <v>0</v>
      </c>
      <c r="AP50" s="18">
        <f t="shared" si="33"/>
        <v>0</v>
      </c>
      <c r="AQ50" s="18">
        <f t="shared" si="33"/>
        <v>0</v>
      </c>
      <c r="AR50" s="18">
        <f t="shared" si="33"/>
        <v>0</v>
      </c>
      <c r="AS50" s="18">
        <f t="shared" si="33"/>
        <v>0</v>
      </c>
      <c r="AT50" s="18">
        <f t="shared" si="33"/>
        <v>0</v>
      </c>
      <c r="AU50" s="18">
        <f t="shared" si="33"/>
        <v>0</v>
      </c>
      <c r="AV50" s="18">
        <f t="shared" si="33"/>
        <v>0</v>
      </c>
      <c r="AW50" s="18">
        <f t="shared" si="33"/>
        <v>0</v>
      </c>
      <c r="AX50" s="18">
        <f t="shared" si="33"/>
        <v>0</v>
      </c>
      <c r="AY50" s="18">
        <f t="shared" si="33"/>
        <v>0</v>
      </c>
      <c r="AZ50" s="386">
        <f t="shared" si="33"/>
        <v>0</v>
      </c>
    </row>
    <row r="51" spans="1:52" hidden="1" outlineLevel="1">
      <c r="A51" s="67" t="s">
        <v>155</v>
      </c>
      <c r="C51" s="383"/>
      <c r="D51" s="387"/>
      <c r="E51" s="387"/>
      <c r="F51" s="387"/>
      <c r="G51" s="384">
        <f>SUM(C$9:G$9)</f>
        <v>0.45000000000000007</v>
      </c>
      <c r="H51" s="385">
        <f t="shared" si="32"/>
        <v>0.1</v>
      </c>
      <c r="I51" s="385">
        <f t="shared" si="32"/>
        <v>0.05</v>
      </c>
      <c r="J51" s="385">
        <f t="shared" si="32"/>
        <v>0.05</v>
      </c>
      <c r="K51" s="385">
        <f t="shared" si="32"/>
        <v>0.1</v>
      </c>
      <c r="L51" s="385">
        <f t="shared" ref="L51:AB56" si="35">L$9</f>
        <v>0.05</v>
      </c>
      <c r="M51" s="385">
        <f t="shared" si="35"/>
        <v>0.05</v>
      </c>
      <c r="N51" s="385">
        <f t="shared" si="35"/>
        <v>0</v>
      </c>
      <c r="O51" s="385">
        <f t="shared" si="35"/>
        <v>0</v>
      </c>
      <c r="P51" s="385">
        <f t="shared" si="35"/>
        <v>0.05</v>
      </c>
      <c r="Q51" s="385">
        <f t="shared" si="35"/>
        <v>0</v>
      </c>
      <c r="R51" s="385">
        <f t="shared" si="35"/>
        <v>0</v>
      </c>
      <c r="S51" s="385">
        <f t="shared" si="35"/>
        <v>0</v>
      </c>
      <c r="T51" s="385">
        <f t="shared" si="35"/>
        <v>0</v>
      </c>
      <c r="U51" s="385">
        <f t="shared" si="35"/>
        <v>0</v>
      </c>
      <c r="V51" s="385">
        <f t="shared" si="35"/>
        <v>0</v>
      </c>
      <c r="W51" s="18">
        <f t="shared" si="35"/>
        <v>0</v>
      </c>
      <c r="X51" s="18">
        <f t="shared" si="35"/>
        <v>0</v>
      </c>
      <c r="Y51" s="18">
        <f t="shared" si="35"/>
        <v>0</v>
      </c>
      <c r="Z51" s="18">
        <f t="shared" si="35"/>
        <v>0</v>
      </c>
      <c r="AA51" s="18">
        <f t="shared" si="35"/>
        <v>0</v>
      </c>
      <c r="AB51" s="18">
        <f t="shared" si="35"/>
        <v>0</v>
      </c>
      <c r="AC51" s="18">
        <f t="shared" si="34"/>
        <v>0</v>
      </c>
      <c r="AD51" s="18">
        <f t="shared" si="34"/>
        <v>0</v>
      </c>
      <c r="AE51" s="18">
        <f t="shared" si="34"/>
        <v>0</v>
      </c>
      <c r="AF51" s="18">
        <f t="shared" si="34"/>
        <v>0</v>
      </c>
      <c r="AG51" s="18">
        <f t="shared" si="33"/>
        <v>0</v>
      </c>
      <c r="AH51" s="18">
        <f t="shared" si="33"/>
        <v>0</v>
      </c>
      <c r="AI51" s="18">
        <f t="shared" si="33"/>
        <v>0</v>
      </c>
      <c r="AJ51" s="18">
        <f t="shared" si="33"/>
        <v>0</v>
      </c>
      <c r="AK51" s="18">
        <f t="shared" si="33"/>
        <v>0</v>
      </c>
      <c r="AL51" s="18">
        <f t="shared" si="33"/>
        <v>0</v>
      </c>
      <c r="AM51" s="18">
        <f t="shared" si="33"/>
        <v>0</v>
      </c>
      <c r="AN51" s="18">
        <f t="shared" si="33"/>
        <v>0</v>
      </c>
      <c r="AO51" s="18">
        <f t="shared" si="33"/>
        <v>0</v>
      </c>
      <c r="AP51" s="18">
        <f t="shared" si="33"/>
        <v>0</v>
      </c>
      <c r="AQ51" s="18">
        <f t="shared" si="33"/>
        <v>0</v>
      </c>
      <c r="AR51" s="18">
        <f t="shared" si="33"/>
        <v>0</v>
      </c>
      <c r="AS51" s="18">
        <f t="shared" si="33"/>
        <v>0</v>
      </c>
      <c r="AT51" s="18">
        <f t="shared" si="33"/>
        <v>0</v>
      </c>
      <c r="AU51" s="18">
        <f t="shared" si="33"/>
        <v>0</v>
      </c>
      <c r="AV51" s="18">
        <f t="shared" si="33"/>
        <v>0</v>
      </c>
      <c r="AW51" s="18">
        <f t="shared" si="33"/>
        <v>0</v>
      </c>
      <c r="AX51" s="18">
        <f t="shared" si="33"/>
        <v>0</v>
      </c>
      <c r="AY51" s="18">
        <f t="shared" si="33"/>
        <v>0</v>
      </c>
      <c r="AZ51" s="386">
        <f t="shared" si="33"/>
        <v>0</v>
      </c>
    </row>
    <row r="52" spans="1:52" hidden="1" outlineLevel="1">
      <c r="A52" s="67" t="s">
        <v>156</v>
      </c>
      <c r="C52" s="383"/>
      <c r="D52" s="387"/>
      <c r="E52" s="387"/>
      <c r="F52" s="387"/>
      <c r="G52" s="387"/>
      <c r="H52" s="384">
        <f>SUM(C$9:H$9)</f>
        <v>0.55000000000000004</v>
      </c>
      <c r="I52" s="385">
        <f t="shared" si="32"/>
        <v>0.05</v>
      </c>
      <c r="J52" s="385">
        <f t="shared" si="32"/>
        <v>0.05</v>
      </c>
      <c r="K52" s="385">
        <f t="shared" si="32"/>
        <v>0.1</v>
      </c>
      <c r="L52" s="385">
        <f t="shared" si="35"/>
        <v>0.05</v>
      </c>
      <c r="M52" s="385">
        <f t="shared" si="35"/>
        <v>0.05</v>
      </c>
      <c r="N52" s="385">
        <f t="shared" si="35"/>
        <v>0</v>
      </c>
      <c r="O52" s="385">
        <f t="shared" si="35"/>
        <v>0</v>
      </c>
      <c r="P52" s="385">
        <f t="shared" si="35"/>
        <v>0.05</v>
      </c>
      <c r="Q52" s="385">
        <f t="shared" si="35"/>
        <v>0</v>
      </c>
      <c r="R52" s="385">
        <f t="shared" si="35"/>
        <v>0</v>
      </c>
      <c r="S52" s="385">
        <f t="shared" si="35"/>
        <v>0</v>
      </c>
      <c r="T52" s="385">
        <f t="shared" si="35"/>
        <v>0</v>
      </c>
      <c r="U52" s="385">
        <f t="shared" si="35"/>
        <v>0</v>
      </c>
      <c r="V52" s="385">
        <f t="shared" si="35"/>
        <v>0</v>
      </c>
      <c r="W52" s="18">
        <f t="shared" si="35"/>
        <v>0</v>
      </c>
      <c r="X52" s="18">
        <f t="shared" si="35"/>
        <v>0</v>
      </c>
      <c r="Y52" s="18">
        <f t="shared" si="35"/>
        <v>0</v>
      </c>
      <c r="Z52" s="18">
        <f t="shared" si="35"/>
        <v>0</v>
      </c>
      <c r="AA52" s="18">
        <f t="shared" si="35"/>
        <v>0</v>
      </c>
      <c r="AB52" s="18">
        <f t="shared" si="35"/>
        <v>0</v>
      </c>
      <c r="AC52" s="18">
        <f t="shared" si="34"/>
        <v>0</v>
      </c>
      <c r="AD52" s="18">
        <f t="shared" si="34"/>
        <v>0</v>
      </c>
      <c r="AE52" s="18">
        <f t="shared" si="34"/>
        <v>0</v>
      </c>
      <c r="AF52" s="18">
        <f t="shared" si="34"/>
        <v>0</v>
      </c>
      <c r="AG52" s="18">
        <f t="shared" si="33"/>
        <v>0</v>
      </c>
      <c r="AH52" s="18">
        <f t="shared" si="33"/>
        <v>0</v>
      </c>
      <c r="AI52" s="18">
        <f t="shared" si="33"/>
        <v>0</v>
      </c>
      <c r="AJ52" s="18">
        <f t="shared" si="33"/>
        <v>0</v>
      </c>
      <c r="AK52" s="18">
        <f t="shared" si="33"/>
        <v>0</v>
      </c>
      <c r="AL52" s="18">
        <f t="shared" si="33"/>
        <v>0</v>
      </c>
      <c r="AM52" s="18">
        <f t="shared" si="33"/>
        <v>0</v>
      </c>
      <c r="AN52" s="18">
        <f t="shared" si="33"/>
        <v>0</v>
      </c>
      <c r="AO52" s="18">
        <f t="shared" si="33"/>
        <v>0</v>
      </c>
      <c r="AP52" s="18">
        <f t="shared" si="33"/>
        <v>0</v>
      </c>
      <c r="AQ52" s="18">
        <f t="shared" si="33"/>
        <v>0</v>
      </c>
      <c r="AR52" s="18">
        <f t="shared" si="33"/>
        <v>0</v>
      </c>
      <c r="AS52" s="18">
        <f t="shared" si="33"/>
        <v>0</v>
      </c>
      <c r="AT52" s="18">
        <f t="shared" si="33"/>
        <v>0</v>
      </c>
      <c r="AU52" s="18">
        <f t="shared" si="33"/>
        <v>0</v>
      </c>
      <c r="AV52" s="18">
        <f t="shared" si="33"/>
        <v>0</v>
      </c>
      <c r="AW52" s="18">
        <f t="shared" si="33"/>
        <v>0</v>
      </c>
      <c r="AX52" s="18">
        <f t="shared" si="33"/>
        <v>0</v>
      </c>
      <c r="AY52" s="18">
        <f t="shared" si="33"/>
        <v>0</v>
      </c>
      <c r="AZ52" s="386">
        <f t="shared" si="33"/>
        <v>0</v>
      </c>
    </row>
    <row r="53" spans="1:52" hidden="1" outlineLevel="1">
      <c r="A53" s="67" t="s">
        <v>157</v>
      </c>
      <c r="C53" s="383"/>
      <c r="D53" s="387"/>
      <c r="E53" s="387"/>
      <c r="F53" s="387"/>
      <c r="G53" s="387"/>
      <c r="H53" s="387"/>
      <c r="I53" s="384">
        <f>SUM(C$9:I$9)</f>
        <v>0.60000000000000009</v>
      </c>
      <c r="J53" s="385">
        <f t="shared" si="32"/>
        <v>0.05</v>
      </c>
      <c r="K53" s="385">
        <f t="shared" si="32"/>
        <v>0.1</v>
      </c>
      <c r="L53" s="385">
        <f t="shared" si="35"/>
        <v>0.05</v>
      </c>
      <c r="M53" s="385">
        <f t="shared" si="35"/>
        <v>0.05</v>
      </c>
      <c r="N53" s="385">
        <f t="shared" si="35"/>
        <v>0</v>
      </c>
      <c r="O53" s="385">
        <f t="shared" si="35"/>
        <v>0</v>
      </c>
      <c r="P53" s="385">
        <f t="shared" si="35"/>
        <v>0.05</v>
      </c>
      <c r="Q53" s="385">
        <f t="shared" si="35"/>
        <v>0</v>
      </c>
      <c r="R53" s="385">
        <f t="shared" si="35"/>
        <v>0</v>
      </c>
      <c r="S53" s="385">
        <f t="shared" si="35"/>
        <v>0</v>
      </c>
      <c r="T53" s="385">
        <f t="shared" si="35"/>
        <v>0</v>
      </c>
      <c r="U53" s="385">
        <f t="shared" si="35"/>
        <v>0</v>
      </c>
      <c r="V53" s="385">
        <f t="shared" si="35"/>
        <v>0</v>
      </c>
      <c r="W53" s="18">
        <f t="shared" si="35"/>
        <v>0</v>
      </c>
      <c r="X53" s="18">
        <f t="shared" si="35"/>
        <v>0</v>
      </c>
      <c r="Y53" s="18">
        <f t="shared" si="35"/>
        <v>0</v>
      </c>
      <c r="Z53" s="18">
        <f t="shared" si="35"/>
        <v>0</v>
      </c>
      <c r="AA53" s="18">
        <f t="shared" si="35"/>
        <v>0</v>
      </c>
      <c r="AB53" s="18">
        <f t="shared" si="35"/>
        <v>0</v>
      </c>
      <c r="AC53" s="18">
        <f t="shared" si="34"/>
        <v>0</v>
      </c>
      <c r="AD53" s="18">
        <f t="shared" si="34"/>
        <v>0</v>
      </c>
      <c r="AE53" s="18">
        <f t="shared" si="34"/>
        <v>0</v>
      </c>
      <c r="AF53" s="18">
        <f t="shared" si="34"/>
        <v>0</v>
      </c>
      <c r="AG53" s="18">
        <f t="shared" si="33"/>
        <v>0</v>
      </c>
      <c r="AH53" s="18">
        <f t="shared" si="33"/>
        <v>0</v>
      </c>
      <c r="AI53" s="18">
        <f t="shared" si="33"/>
        <v>0</v>
      </c>
      <c r="AJ53" s="18">
        <f t="shared" si="33"/>
        <v>0</v>
      </c>
      <c r="AK53" s="18">
        <f t="shared" si="33"/>
        <v>0</v>
      </c>
      <c r="AL53" s="18">
        <f t="shared" si="33"/>
        <v>0</v>
      </c>
      <c r="AM53" s="18">
        <f t="shared" si="33"/>
        <v>0</v>
      </c>
      <c r="AN53" s="18">
        <f t="shared" si="33"/>
        <v>0</v>
      </c>
      <c r="AO53" s="18">
        <f t="shared" si="33"/>
        <v>0</v>
      </c>
      <c r="AP53" s="18">
        <f t="shared" si="33"/>
        <v>0</v>
      </c>
      <c r="AQ53" s="18">
        <f t="shared" si="33"/>
        <v>0</v>
      </c>
      <c r="AR53" s="18">
        <f t="shared" si="33"/>
        <v>0</v>
      </c>
      <c r="AS53" s="18">
        <f t="shared" si="33"/>
        <v>0</v>
      </c>
      <c r="AT53" s="18">
        <f t="shared" si="33"/>
        <v>0</v>
      </c>
      <c r="AU53" s="18">
        <f t="shared" si="33"/>
        <v>0</v>
      </c>
      <c r="AV53" s="18">
        <f t="shared" si="33"/>
        <v>0</v>
      </c>
      <c r="AW53" s="18">
        <f t="shared" si="33"/>
        <v>0</v>
      </c>
      <c r="AX53" s="18">
        <f t="shared" si="33"/>
        <v>0</v>
      </c>
      <c r="AY53" s="18">
        <f t="shared" si="33"/>
        <v>0</v>
      </c>
      <c r="AZ53" s="386">
        <f t="shared" si="33"/>
        <v>0</v>
      </c>
    </row>
    <row r="54" spans="1:52" hidden="1" outlineLevel="1">
      <c r="A54" s="67" t="s">
        <v>158</v>
      </c>
      <c r="C54" s="383"/>
      <c r="D54" s="387"/>
      <c r="E54" s="387"/>
      <c r="F54" s="387"/>
      <c r="G54" s="387"/>
      <c r="H54" s="387"/>
      <c r="I54" s="387"/>
      <c r="J54" s="384">
        <f>SUM(C$9:J$9)</f>
        <v>0.65000000000000013</v>
      </c>
      <c r="K54" s="385">
        <f t="shared" si="32"/>
        <v>0.1</v>
      </c>
      <c r="L54" s="385">
        <f t="shared" si="35"/>
        <v>0.05</v>
      </c>
      <c r="M54" s="385">
        <f t="shared" si="35"/>
        <v>0.05</v>
      </c>
      <c r="N54" s="385">
        <f t="shared" si="35"/>
        <v>0</v>
      </c>
      <c r="O54" s="385">
        <f t="shared" si="35"/>
        <v>0</v>
      </c>
      <c r="P54" s="385">
        <f t="shared" si="35"/>
        <v>0.05</v>
      </c>
      <c r="Q54" s="385">
        <f t="shared" si="35"/>
        <v>0</v>
      </c>
      <c r="R54" s="385">
        <f t="shared" si="35"/>
        <v>0</v>
      </c>
      <c r="S54" s="385">
        <f t="shared" si="35"/>
        <v>0</v>
      </c>
      <c r="T54" s="385">
        <f t="shared" si="35"/>
        <v>0</v>
      </c>
      <c r="U54" s="385">
        <f t="shared" si="35"/>
        <v>0</v>
      </c>
      <c r="V54" s="385">
        <f t="shared" si="35"/>
        <v>0</v>
      </c>
      <c r="W54" s="18">
        <f t="shared" si="35"/>
        <v>0</v>
      </c>
      <c r="X54" s="18">
        <f t="shared" si="35"/>
        <v>0</v>
      </c>
      <c r="Y54" s="18">
        <f t="shared" si="35"/>
        <v>0</v>
      </c>
      <c r="Z54" s="18">
        <f t="shared" si="35"/>
        <v>0</v>
      </c>
      <c r="AA54" s="18">
        <f t="shared" si="35"/>
        <v>0</v>
      </c>
      <c r="AB54" s="18">
        <f t="shared" si="35"/>
        <v>0</v>
      </c>
      <c r="AC54" s="18">
        <f t="shared" si="34"/>
        <v>0</v>
      </c>
      <c r="AD54" s="18">
        <f t="shared" si="34"/>
        <v>0</v>
      </c>
      <c r="AE54" s="18">
        <f t="shared" si="34"/>
        <v>0</v>
      </c>
      <c r="AF54" s="18">
        <f t="shared" si="34"/>
        <v>0</v>
      </c>
      <c r="AG54" s="18">
        <f t="shared" si="33"/>
        <v>0</v>
      </c>
      <c r="AH54" s="18">
        <f t="shared" si="33"/>
        <v>0</v>
      </c>
      <c r="AI54" s="18">
        <f t="shared" si="33"/>
        <v>0</v>
      </c>
      <c r="AJ54" s="18">
        <f t="shared" si="33"/>
        <v>0</v>
      </c>
      <c r="AK54" s="18">
        <f t="shared" si="33"/>
        <v>0</v>
      </c>
      <c r="AL54" s="18">
        <f t="shared" si="33"/>
        <v>0</v>
      </c>
      <c r="AM54" s="18">
        <f t="shared" si="33"/>
        <v>0</v>
      </c>
      <c r="AN54" s="18">
        <f t="shared" si="33"/>
        <v>0</v>
      </c>
      <c r="AO54" s="18">
        <f t="shared" si="33"/>
        <v>0</v>
      </c>
      <c r="AP54" s="18">
        <f t="shared" si="33"/>
        <v>0</v>
      </c>
      <c r="AQ54" s="18">
        <f t="shared" si="33"/>
        <v>0</v>
      </c>
      <c r="AR54" s="18">
        <f t="shared" si="33"/>
        <v>0</v>
      </c>
      <c r="AS54" s="18">
        <f t="shared" si="33"/>
        <v>0</v>
      </c>
      <c r="AT54" s="18">
        <f t="shared" si="33"/>
        <v>0</v>
      </c>
      <c r="AU54" s="18">
        <f t="shared" si="33"/>
        <v>0</v>
      </c>
      <c r="AV54" s="18">
        <f t="shared" si="33"/>
        <v>0</v>
      </c>
      <c r="AW54" s="18">
        <f t="shared" si="33"/>
        <v>0</v>
      </c>
      <c r="AX54" s="18">
        <f t="shared" si="33"/>
        <v>0</v>
      </c>
      <c r="AY54" s="18">
        <f t="shared" si="33"/>
        <v>0</v>
      </c>
      <c r="AZ54" s="386">
        <f t="shared" si="33"/>
        <v>0</v>
      </c>
    </row>
    <row r="55" spans="1:52" hidden="1" outlineLevel="1">
      <c r="A55" s="67" t="s">
        <v>159</v>
      </c>
      <c r="C55" s="383"/>
      <c r="D55" s="387"/>
      <c r="E55" s="387"/>
      <c r="F55" s="387"/>
      <c r="G55" s="387"/>
      <c r="H55" s="387"/>
      <c r="I55" s="387"/>
      <c r="J55" s="387"/>
      <c r="K55" s="384">
        <f>SUM(C$9:K$9)</f>
        <v>0.75000000000000011</v>
      </c>
      <c r="L55" s="385">
        <f t="shared" si="35"/>
        <v>0.05</v>
      </c>
      <c r="M55" s="385">
        <f t="shared" si="35"/>
        <v>0.05</v>
      </c>
      <c r="N55" s="385">
        <f t="shared" si="35"/>
        <v>0</v>
      </c>
      <c r="O55" s="385">
        <f t="shared" si="35"/>
        <v>0</v>
      </c>
      <c r="P55" s="385">
        <f t="shared" si="35"/>
        <v>0.05</v>
      </c>
      <c r="Q55" s="385">
        <f t="shared" si="35"/>
        <v>0</v>
      </c>
      <c r="R55" s="385">
        <f t="shared" si="35"/>
        <v>0</v>
      </c>
      <c r="S55" s="385">
        <f t="shared" si="35"/>
        <v>0</v>
      </c>
      <c r="T55" s="385">
        <f t="shared" si="35"/>
        <v>0</v>
      </c>
      <c r="U55" s="385">
        <f t="shared" si="35"/>
        <v>0</v>
      </c>
      <c r="V55" s="385">
        <f t="shared" si="35"/>
        <v>0</v>
      </c>
      <c r="W55" s="18">
        <f t="shared" si="35"/>
        <v>0</v>
      </c>
      <c r="X55" s="18">
        <f t="shared" si="35"/>
        <v>0</v>
      </c>
      <c r="Y55" s="18">
        <f t="shared" si="35"/>
        <v>0</v>
      </c>
      <c r="Z55" s="18">
        <f t="shared" si="35"/>
        <v>0</v>
      </c>
      <c r="AA55" s="18">
        <f t="shared" si="35"/>
        <v>0</v>
      </c>
      <c r="AB55" s="18">
        <f t="shared" si="35"/>
        <v>0</v>
      </c>
      <c r="AC55" s="18">
        <f t="shared" si="34"/>
        <v>0</v>
      </c>
      <c r="AD55" s="18">
        <f t="shared" si="34"/>
        <v>0</v>
      </c>
      <c r="AE55" s="18">
        <f t="shared" si="34"/>
        <v>0</v>
      </c>
      <c r="AF55" s="18">
        <f t="shared" si="34"/>
        <v>0</v>
      </c>
      <c r="AG55" s="18">
        <f t="shared" si="33"/>
        <v>0</v>
      </c>
      <c r="AH55" s="18">
        <f t="shared" si="33"/>
        <v>0</v>
      </c>
      <c r="AI55" s="18">
        <f t="shared" si="33"/>
        <v>0</v>
      </c>
      <c r="AJ55" s="18">
        <f t="shared" si="33"/>
        <v>0</v>
      </c>
      <c r="AK55" s="18">
        <f t="shared" si="33"/>
        <v>0</v>
      </c>
      <c r="AL55" s="18">
        <f t="shared" si="33"/>
        <v>0</v>
      </c>
      <c r="AM55" s="18">
        <f t="shared" si="33"/>
        <v>0</v>
      </c>
      <c r="AN55" s="18">
        <f t="shared" si="33"/>
        <v>0</v>
      </c>
      <c r="AO55" s="18">
        <f t="shared" si="33"/>
        <v>0</v>
      </c>
      <c r="AP55" s="18">
        <f t="shared" si="33"/>
        <v>0</v>
      </c>
      <c r="AQ55" s="18">
        <f t="shared" si="33"/>
        <v>0</v>
      </c>
      <c r="AR55" s="18">
        <f t="shared" si="33"/>
        <v>0</v>
      </c>
      <c r="AS55" s="18">
        <f t="shared" si="33"/>
        <v>0</v>
      </c>
      <c r="AT55" s="18">
        <f t="shared" si="33"/>
        <v>0</v>
      </c>
      <c r="AU55" s="18">
        <f t="shared" si="33"/>
        <v>0</v>
      </c>
      <c r="AV55" s="18">
        <f t="shared" si="33"/>
        <v>0</v>
      </c>
      <c r="AW55" s="18">
        <f t="shared" si="33"/>
        <v>0</v>
      </c>
      <c r="AX55" s="18">
        <f t="shared" si="33"/>
        <v>0</v>
      </c>
      <c r="AY55" s="18">
        <f t="shared" si="33"/>
        <v>0</v>
      </c>
      <c r="AZ55" s="386">
        <f t="shared" si="33"/>
        <v>0</v>
      </c>
    </row>
    <row r="56" spans="1:52" hidden="1" outlineLevel="1">
      <c r="A56" s="67" t="s">
        <v>160</v>
      </c>
      <c r="C56" s="388"/>
      <c r="D56" s="389"/>
      <c r="E56" s="389"/>
      <c r="F56" s="389"/>
      <c r="G56" s="389"/>
      <c r="H56" s="389"/>
      <c r="I56" s="389"/>
      <c r="J56" s="389"/>
      <c r="K56" s="389"/>
      <c r="L56" s="390">
        <f>SUM(C$9:L$9)</f>
        <v>0.80000000000000016</v>
      </c>
      <c r="M56" s="391">
        <f t="shared" si="35"/>
        <v>0.05</v>
      </c>
      <c r="N56" s="391">
        <f t="shared" si="35"/>
        <v>0</v>
      </c>
      <c r="O56" s="391">
        <f t="shared" si="35"/>
        <v>0</v>
      </c>
      <c r="P56" s="391">
        <f t="shared" si="35"/>
        <v>0.05</v>
      </c>
      <c r="Q56" s="391">
        <f t="shared" si="35"/>
        <v>0</v>
      </c>
      <c r="R56" s="391">
        <f t="shared" si="35"/>
        <v>0</v>
      </c>
      <c r="S56" s="391">
        <f t="shared" si="35"/>
        <v>0</v>
      </c>
      <c r="T56" s="391">
        <f t="shared" si="35"/>
        <v>0</v>
      </c>
      <c r="U56" s="391">
        <f t="shared" si="35"/>
        <v>0</v>
      </c>
      <c r="V56" s="391">
        <f t="shared" si="35"/>
        <v>0</v>
      </c>
      <c r="W56" s="392">
        <f t="shared" si="35"/>
        <v>0</v>
      </c>
      <c r="X56" s="392">
        <f t="shared" si="35"/>
        <v>0</v>
      </c>
      <c r="Y56" s="392">
        <f t="shared" si="35"/>
        <v>0</v>
      </c>
      <c r="Z56" s="392">
        <f t="shared" si="35"/>
        <v>0</v>
      </c>
      <c r="AA56" s="392">
        <f t="shared" si="35"/>
        <v>0</v>
      </c>
      <c r="AB56" s="392">
        <f t="shared" si="35"/>
        <v>0</v>
      </c>
      <c r="AC56" s="392">
        <f t="shared" si="34"/>
        <v>0</v>
      </c>
      <c r="AD56" s="392">
        <f t="shared" si="34"/>
        <v>0</v>
      </c>
      <c r="AE56" s="392">
        <f t="shared" si="34"/>
        <v>0</v>
      </c>
      <c r="AF56" s="392">
        <f t="shared" si="34"/>
        <v>0</v>
      </c>
      <c r="AG56" s="392">
        <f t="shared" si="33"/>
        <v>0</v>
      </c>
      <c r="AH56" s="392">
        <f t="shared" si="33"/>
        <v>0</v>
      </c>
      <c r="AI56" s="392">
        <f t="shared" si="33"/>
        <v>0</v>
      </c>
      <c r="AJ56" s="392">
        <f t="shared" si="33"/>
        <v>0</v>
      </c>
      <c r="AK56" s="392">
        <f t="shared" si="33"/>
        <v>0</v>
      </c>
      <c r="AL56" s="392">
        <f t="shared" si="33"/>
        <v>0</v>
      </c>
      <c r="AM56" s="392">
        <f t="shared" si="33"/>
        <v>0</v>
      </c>
      <c r="AN56" s="392">
        <f t="shared" si="33"/>
        <v>0</v>
      </c>
      <c r="AO56" s="392">
        <f t="shared" si="33"/>
        <v>0</v>
      </c>
      <c r="AP56" s="392">
        <f t="shared" si="33"/>
        <v>0</v>
      </c>
      <c r="AQ56" s="392">
        <f t="shared" si="33"/>
        <v>0</v>
      </c>
      <c r="AR56" s="392">
        <f t="shared" si="33"/>
        <v>0</v>
      </c>
      <c r="AS56" s="392">
        <f t="shared" si="33"/>
        <v>0</v>
      </c>
      <c r="AT56" s="392">
        <f t="shared" si="33"/>
        <v>0</v>
      </c>
      <c r="AU56" s="392">
        <f t="shared" si="33"/>
        <v>0</v>
      </c>
      <c r="AV56" s="392">
        <f t="shared" si="33"/>
        <v>0</v>
      </c>
      <c r="AW56" s="392">
        <f t="shared" si="33"/>
        <v>0</v>
      </c>
      <c r="AX56" s="392">
        <f t="shared" si="33"/>
        <v>0</v>
      </c>
      <c r="AY56" s="392">
        <f t="shared" si="33"/>
        <v>0</v>
      </c>
      <c r="AZ56" s="393">
        <f t="shared" si="33"/>
        <v>0</v>
      </c>
    </row>
    <row r="57" spans="1:52" hidden="1" outlineLevel="1"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</row>
    <row r="58" spans="1:52" s="22" customFormat="1" hidden="1" outlineLevel="1">
      <c r="A58" s="83" t="s">
        <v>169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</row>
    <row r="59" spans="1:52" hidden="1" outlineLevel="1">
      <c r="A59" s="67" t="s">
        <v>151</v>
      </c>
      <c r="C59" s="379">
        <f t="shared" ref="C59:AG59" si="36">C$9</f>
        <v>0.35000000000000009</v>
      </c>
      <c r="D59" s="380">
        <f t="shared" si="36"/>
        <v>0</v>
      </c>
      <c r="E59" s="380">
        <f t="shared" si="36"/>
        <v>0.05</v>
      </c>
      <c r="F59" s="380">
        <f t="shared" si="36"/>
        <v>0.05</v>
      </c>
      <c r="G59" s="380">
        <f t="shared" si="36"/>
        <v>0</v>
      </c>
      <c r="H59" s="380">
        <f t="shared" si="36"/>
        <v>0.1</v>
      </c>
      <c r="I59" s="380">
        <f t="shared" si="36"/>
        <v>0.05</v>
      </c>
      <c r="J59" s="380">
        <f t="shared" si="36"/>
        <v>0.05</v>
      </c>
      <c r="K59" s="380">
        <f t="shared" si="36"/>
        <v>0.1</v>
      </c>
      <c r="L59" s="380">
        <f t="shared" si="36"/>
        <v>0.05</v>
      </c>
      <c r="M59" s="380">
        <f t="shared" si="36"/>
        <v>0.05</v>
      </c>
      <c r="N59" s="380">
        <f t="shared" si="36"/>
        <v>0</v>
      </c>
      <c r="O59" s="380">
        <f t="shared" si="36"/>
        <v>0</v>
      </c>
      <c r="P59" s="380">
        <f t="shared" si="36"/>
        <v>0.05</v>
      </c>
      <c r="Q59" s="380">
        <f t="shared" si="36"/>
        <v>0</v>
      </c>
      <c r="R59" s="380">
        <f t="shared" si="36"/>
        <v>0</v>
      </c>
      <c r="S59" s="380">
        <f t="shared" si="36"/>
        <v>0</v>
      </c>
      <c r="T59" s="380">
        <f t="shared" si="36"/>
        <v>0</v>
      </c>
      <c r="U59" s="380">
        <f t="shared" si="36"/>
        <v>0</v>
      </c>
      <c r="V59" s="380">
        <f t="shared" si="36"/>
        <v>0</v>
      </c>
      <c r="W59" s="381">
        <f t="shared" si="36"/>
        <v>0</v>
      </c>
      <c r="X59" s="381">
        <f t="shared" si="36"/>
        <v>0</v>
      </c>
      <c r="Y59" s="381">
        <f t="shared" si="36"/>
        <v>0</v>
      </c>
      <c r="Z59" s="381">
        <f t="shared" si="36"/>
        <v>0</v>
      </c>
      <c r="AA59" s="381">
        <f t="shared" si="36"/>
        <v>0</v>
      </c>
      <c r="AB59" s="381">
        <f t="shared" si="36"/>
        <v>0</v>
      </c>
      <c r="AC59" s="381">
        <f t="shared" si="36"/>
        <v>0</v>
      </c>
      <c r="AD59" s="381">
        <f t="shared" si="36"/>
        <v>0</v>
      </c>
      <c r="AE59" s="381">
        <f t="shared" si="36"/>
        <v>0</v>
      </c>
      <c r="AF59" s="381">
        <f t="shared" si="36"/>
        <v>0</v>
      </c>
      <c r="AG59" s="381">
        <f t="shared" si="36"/>
        <v>0</v>
      </c>
      <c r="AH59" s="381">
        <f t="shared" ref="AG59:AZ72" si="37">AH$9</f>
        <v>0</v>
      </c>
      <c r="AI59" s="381">
        <f t="shared" si="37"/>
        <v>0</v>
      </c>
      <c r="AJ59" s="381">
        <f t="shared" si="37"/>
        <v>0</v>
      </c>
      <c r="AK59" s="381">
        <f t="shared" si="37"/>
        <v>0</v>
      </c>
      <c r="AL59" s="381">
        <f t="shared" si="37"/>
        <v>0</v>
      </c>
      <c r="AM59" s="381">
        <f t="shared" si="37"/>
        <v>0</v>
      </c>
      <c r="AN59" s="381">
        <f t="shared" si="37"/>
        <v>0</v>
      </c>
      <c r="AO59" s="381">
        <f t="shared" si="37"/>
        <v>0</v>
      </c>
      <c r="AP59" s="381">
        <f t="shared" si="37"/>
        <v>0</v>
      </c>
      <c r="AQ59" s="381">
        <f t="shared" si="37"/>
        <v>0</v>
      </c>
      <c r="AR59" s="381">
        <f t="shared" si="37"/>
        <v>0</v>
      </c>
      <c r="AS59" s="381">
        <f t="shared" si="37"/>
        <v>0</v>
      </c>
      <c r="AT59" s="381">
        <f t="shared" si="37"/>
        <v>0</v>
      </c>
      <c r="AU59" s="381">
        <f t="shared" si="37"/>
        <v>0</v>
      </c>
      <c r="AV59" s="381">
        <f t="shared" si="37"/>
        <v>0</v>
      </c>
      <c r="AW59" s="381">
        <f t="shared" si="37"/>
        <v>0</v>
      </c>
      <c r="AX59" s="381">
        <f t="shared" si="37"/>
        <v>0</v>
      </c>
      <c r="AY59" s="381">
        <f t="shared" si="37"/>
        <v>0</v>
      </c>
      <c r="AZ59" s="382">
        <f t="shared" si="37"/>
        <v>0</v>
      </c>
    </row>
    <row r="60" spans="1:52" hidden="1" outlineLevel="1">
      <c r="A60" s="67" t="s">
        <v>152</v>
      </c>
      <c r="C60" s="383"/>
      <c r="D60" s="384">
        <f>SUM(C$9:D$9)</f>
        <v>0.35000000000000009</v>
      </c>
      <c r="E60" s="18">
        <f t="shared" ref="E60:AF60" si="38">E$9</f>
        <v>0.05</v>
      </c>
      <c r="F60" s="18">
        <f t="shared" si="38"/>
        <v>0.05</v>
      </c>
      <c r="G60" s="18">
        <f t="shared" si="38"/>
        <v>0</v>
      </c>
      <c r="H60" s="18">
        <f t="shared" si="38"/>
        <v>0.1</v>
      </c>
      <c r="I60" s="18">
        <f t="shared" si="38"/>
        <v>0.05</v>
      </c>
      <c r="J60" s="18">
        <f t="shared" si="38"/>
        <v>0.05</v>
      </c>
      <c r="K60" s="18">
        <f t="shared" si="38"/>
        <v>0.1</v>
      </c>
      <c r="L60" s="18">
        <f t="shared" si="38"/>
        <v>0.05</v>
      </c>
      <c r="M60" s="18">
        <f t="shared" si="38"/>
        <v>0.05</v>
      </c>
      <c r="N60" s="18">
        <f t="shared" si="38"/>
        <v>0</v>
      </c>
      <c r="O60" s="18">
        <f t="shared" si="38"/>
        <v>0</v>
      </c>
      <c r="P60" s="18">
        <f t="shared" si="38"/>
        <v>0.05</v>
      </c>
      <c r="Q60" s="18">
        <f t="shared" si="38"/>
        <v>0</v>
      </c>
      <c r="R60" s="18">
        <f t="shared" si="38"/>
        <v>0</v>
      </c>
      <c r="S60" s="18">
        <f t="shared" si="38"/>
        <v>0</v>
      </c>
      <c r="T60" s="18">
        <f t="shared" si="38"/>
        <v>0</v>
      </c>
      <c r="U60" s="18">
        <f t="shared" si="38"/>
        <v>0</v>
      </c>
      <c r="V60" s="18">
        <f t="shared" si="38"/>
        <v>0</v>
      </c>
      <c r="W60" s="18">
        <f t="shared" si="38"/>
        <v>0</v>
      </c>
      <c r="X60" s="18">
        <f t="shared" si="38"/>
        <v>0</v>
      </c>
      <c r="Y60" s="18">
        <f t="shared" si="38"/>
        <v>0</v>
      </c>
      <c r="Z60" s="18">
        <f t="shared" si="38"/>
        <v>0</v>
      </c>
      <c r="AA60" s="18">
        <f t="shared" si="38"/>
        <v>0</v>
      </c>
      <c r="AB60" s="18">
        <f t="shared" si="38"/>
        <v>0</v>
      </c>
      <c r="AC60" s="18">
        <f t="shared" si="38"/>
        <v>0</v>
      </c>
      <c r="AD60" s="18">
        <f t="shared" si="38"/>
        <v>0</v>
      </c>
      <c r="AE60" s="18">
        <f t="shared" si="38"/>
        <v>0</v>
      </c>
      <c r="AF60" s="18">
        <f t="shared" si="38"/>
        <v>0</v>
      </c>
      <c r="AG60" s="18">
        <f t="shared" si="37"/>
        <v>0</v>
      </c>
      <c r="AH60" s="18">
        <f t="shared" si="37"/>
        <v>0</v>
      </c>
      <c r="AI60" s="18">
        <f t="shared" si="37"/>
        <v>0</v>
      </c>
      <c r="AJ60" s="18">
        <f t="shared" si="37"/>
        <v>0</v>
      </c>
      <c r="AK60" s="18">
        <f t="shared" si="37"/>
        <v>0</v>
      </c>
      <c r="AL60" s="18">
        <f t="shared" si="37"/>
        <v>0</v>
      </c>
      <c r="AM60" s="18">
        <f t="shared" si="37"/>
        <v>0</v>
      </c>
      <c r="AN60" s="18">
        <f t="shared" si="37"/>
        <v>0</v>
      </c>
      <c r="AO60" s="18">
        <f t="shared" si="37"/>
        <v>0</v>
      </c>
      <c r="AP60" s="18">
        <f t="shared" si="37"/>
        <v>0</v>
      </c>
      <c r="AQ60" s="18">
        <f t="shared" si="37"/>
        <v>0</v>
      </c>
      <c r="AR60" s="18">
        <f t="shared" si="37"/>
        <v>0</v>
      </c>
      <c r="AS60" s="18">
        <f t="shared" si="37"/>
        <v>0</v>
      </c>
      <c r="AT60" s="18">
        <f t="shared" si="37"/>
        <v>0</v>
      </c>
      <c r="AU60" s="18">
        <f t="shared" si="37"/>
        <v>0</v>
      </c>
      <c r="AV60" s="18">
        <f t="shared" si="37"/>
        <v>0</v>
      </c>
      <c r="AW60" s="18">
        <f t="shared" si="37"/>
        <v>0</v>
      </c>
      <c r="AX60" s="18">
        <f t="shared" si="37"/>
        <v>0</v>
      </c>
      <c r="AY60" s="18">
        <f t="shared" si="37"/>
        <v>0</v>
      </c>
      <c r="AZ60" s="386">
        <f t="shared" si="37"/>
        <v>0</v>
      </c>
    </row>
    <row r="61" spans="1:52" hidden="1" outlineLevel="1">
      <c r="A61" s="67" t="s">
        <v>153</v>
      </c>
      <c r="C61" s="383"/>
      <c r="D61" s="387"/>
      <c r="E61" s="384">
        <f>SUM(C$9:E$9)</f>
        <v>0.40000000000000008</v>
      </c>
      <c r="F61" s="18">
        <f t="shared" ref="F61:AF61" si="39">F$9</f>
        <v>0.05</v>
      </c>
      <c r="G61" s="18">
        <f t="shared" si="39"/>
        <v>0</v>
      </c>
      <c r="H61" s="18">
        <f t="shared" si="39"/>
        <v>0.1</v>
      </c>
      <c r="I61" s="18">
        <f t="shared" si="39"/>
        <v>0.05</v>
      </c>
      <c r="J61" s="18">
        <f t="shared" si="39"/>
        <v>0.05</v>
      </c>
      <c r="K61" s="18">
        <f t="shared" si="39"/>
        <v>0.1</v>
      </c>
      <c r="L61" s="18">
        <f t="shared" si="39"/>
        <v>0.05</v>
      </c>
      <c r="M61" s="18">
        <f t="shared" si="39"/>
        <v>0.05</v>
      </c>
      <c r="N61" s="18">
        <f t="shared" si="39"/>
        <v>0</v>
      </c>
      <c r="O61" s="18">
        <f t="shared" si="39"/>
        <v>0</v>
      </c>
      <c r="P61" s="18">
        <f t="shared" si="39"/>
        <v>0.05</v>
      </c>
      <c r="Q61" s="18">
        <f t="shared" si="39"/>
        <v>0</v>
      </c>
      <c r="R61" s="18">
        <f t="shared" si="39"/>
        <v>0</v>
      </c>
      <c r="S61" s="18">
        <f t="shared" si="39"/>
        <v>0</v>
      </c>
      <c r="T61" s="18">
        <f t="shared" si="39"/>
        <v>0</v>
      </c>
      <c r="U61" s="18">
        <f t="shared" si="39"/>
        <v>0</v>
      </c>
      <c r="V61" s="18">
        <f t="shared" si="39"/>
        <v>0</v>
      </c>
      <c r="W61" s="18">
        <f t="shared" si="39"/>
        <v>0</v>
      </c>
      <c r="X61" s="395">
        <f t="shared" si="39"/>
        <v>0</v>
      </c>
      <c r="Y61" s="18">
        <f t="shared" si="39"/>
        <v>0</v>
      </c>
      <c r="Z61" s="18">
        <f t="shared" si="39"/>
        <v>0</v>
      </c>
      <c r="AA61" s="18">
        <f t="shared" si="39"/>
        <v>0</v>
      </c>
      <c r="AB61" s="18">
        <f t="shared" si="39"/>
        <v>0</v>
      </c>
      <c r="AC61" s="18">
        <f t="shared" si="39"/>
        <v>0</v>
      </c>
      <c r="AD61" s="18">
        <f t="shared" si="39"/>
        <v>0</v>
      </c>
      <c r="AE61" s="18">
        <f t="shared" si="39"/>
        <v>0</v>
      </c>
      <c r="AF61" s="18">
        <f t="shared" si="39"/>
        <v>0</v>
      </c>
      <c r="AG61" s="18">
        <f t="shared" si="37"/>
        <v>0</v>
      </c>
      <c r="AH61" s="18">
        <f t="shared" si="37"/>
        <v>0</v>
      </c>
      <c r="AI61" s="18">
        <f t="shared" si="37"/>
        <v>0</v>
      </c>
      <c r="AJ61" s="18">
        <f t="shared" si="37"/>
        <v>0</v>
      </c>
      <c r="AK61" s="18">
        <f t="shared" si="37"/>
        <v>0</v>
      </c>
      <c r="AL61" s="18">
        <f t="shared" si="37"/>
        <v>0</v>
      </c>
      <c r="AM61" s="18">
        <f t="shared" si="37"/>
        <v>0</v>
      </c>
      <c r="AN61" s="18">
        <f t="shared" si="37"/>
        <v>0</v>
      </c>
      <c r="AO61" s="18">
        <f t="shared" si="37"/>
        <v>0</v>
      </c>
      <c r="AP61" s="18">
        <f t="shared" si="37"/>
        <v>0</v>
      </c>
      <c r="AQ61" s="18">
        <f t="shared" si="37"/>
        <v>0</v>
      </c>
      <c r="AR61" s="18">
        <f t="shared" si="37"/>
        <v>0</v>
      </c>
      <c r="AS61" s="18">
        <f t="shared" si="37"/>
        <v>0</v>
      </c>
      <c r="AT61" s="18">
        <f t="shared" si="37"/>
        <v>0</v>
      </c>
      <c r="AU61" s="18">
        <f t="shared" si="37"/>
        <v>0</v>
      </c>
      <c r="AV61" s="18">
        <f t="shared" si="37"/>
        <v>0</v>
      </c>
      <c r="AW61" s="18">
        <f t="shared" si="37"/>
        <v>0</v>
      </c>
      <c r="AX61" s="18">
        <f t="shared" si="37"/>
        <v>0</v>
      </c>
      <c r="AY61" s="18">
        <f t="shared" si="37"/>
        <v>0</v>
      </c>
      <c r="AZ61" s="386">
        <f t="shared" si="37"/>
        <v>0</v>
      </c>
    </row>
    <row r="62" spans="1:52" hidden="1" outlineLevel="1">
      <c r="A62" s="67" t="s">
        <v>154</v>
      </c>
      <c r="C62" s="383"/>
      <c r="D62" s="387"/>
      <c r="E62" s="387"/>
      <c r="F62" s="384">
        <f>SUM(C$9:F$9)</f>
        <v>0.45000000000000007</v>
      </c>
      <c r="G62" s="18">
        <f t="shared" ref="G62:AF62" si="40">G$9</f>
        <v>0</v>
      </c>
      <c r="H62" s="18">
        <f t="shared" si="40"/>
        <v>0.1</v>
      </c>
      <c r="I62" s="18">
        <f t="shared" si="40"/>
        <v>0.05</v>
      </c>
      <c r="J62" s="18">
        <f t="shared" si="40"/>
        <v>0.05</v>
      </c>
      <c r="K62" s="18">
        <f t="shared" si="40"/>
        <v>0.1</v>
      </c>
      <c r="L62" s="18">
        <f t="shared" si="40"/>
        <v>0.05</v>
      </c>
      <c r="M62" s="18">
        <f t="shared" si="40"/>
        <v>0.05</v>
      </c>
      <c r="N62" s="18">
        <f t="shared" si="40"/>
        <v>0</v>
      </c>
      <c r="O62" s="18">
        <f t="shared" si="40"/>
        <v>0</v>
      </c>
      <c r="P62" s="18">
        <f t="shared" si="40"/>
        <v>0.05</v>
      </c>
      <c r="Q62" s="18">
        <f t="shared" si="40"/>
        <v>0</v>
      </c>
      <c r="R62" s="18">
        <f t="shared" si="40"/>
        <v>0</v>
      </c>
      <c r="S62" s="18">
        <f t="shared" si="40"/>
        <v>0</v>
      </c>
      <c r="T62" s="18">
        <f t="shared" si="40"/>
        <v>0</v>
      </c>
      <c r="U62" s="18">
        <f t="shared" si="40"/>
        <v>0</v>
      </c>
      <c r="V62" s="18">
        <f t="shared" si="40"/>
        <v>0</v>
      </c>
      <c r="W62" s="18">
        <f t="shared" si="40"/>
        <v>0</v>
      </c>
      <c r="X62" s="18">
        <f t="shared" si="40"/>
        <v>0</v>
      </c>
      <c r="Y62" s="18">
        <f t="shared" si="40"/>
        <v>0</v>
      </c>
      <c r="Z62" s="18">
        <f t="shared" si="40"/>
        <v>0</v>
      </c>
      <c r="AA62" s="18">
        <f t="shared" si="40"/>
        <v>0</v>
      </c>
      <c r="AB62" s="18">
        <f t="shared" si="40"/>
        <v>0</v>
      </c>
      <c r="AC62" s="18">
        <f t="shared" si="40"/>
        <v>0</v>
      </c>
      <c r="AD62" s="18">
        <f t="shared" si="40"/>
        <v>0</v>
      </c>
      <c r="AE62" s="18">
        <f t="shared" si="40"/>
        <v>0</v>
      </c>
      <c r="AF62" s="18">
        <f t="shared" si="40"/>
        <v>0</v>
      </c>
      <c r="AG62" s="18">
        <f t="shared" si="37"/>
        <v>0</v>
      </c>
      <c r="AH62" s="18">
        <f t="shared" si="37"/>
        <v>0</v>
      </c>
      <c r="AI62" s="18">
        <f t="shared" si="37"/>
        <v>0</v>
      </c>
      <c r="AJ62" s="18">
        <f t="shared" si="37"/>
        <v>0</v>
      </c>
      <c r="AK62" s="18">
        <f t="shared" si="37"/>
        <v>0</v>
      </c>
      <c r="AL62" s="18">
        <f t="shared" si="37"/>
        <v>0</v>
      </c>
      <c r="AM62" s="18">
        <f t="shared" si="37"/>
        <v>0</v>
      </c>
      <c r="AN62" s="18">
        <f t="shared" si="37"/>
        <v>0</v>
      </c>
      <c r="AO62" s="18">
        <f t="shared" si="37"/>
        <v>0</v>
      </c>
      <c r="AP62" s="18">
        <f t="shared" si="37"/>
        <v>0</v>
      </c>
      <c r="AQ62" s="18">
        <f t="shared" si="37"/>
        <v>0</v>
      </c>
      <c r="AR62" s="18">
        <f t="shared" si="37"/>
        <v>0</v>
      </c>
      <c r="AS62" s="18">
        <f t="shared" si="37"/>
        <v>0</v>
      </c>
      <c r="AT62" s="18">
        <f t="shared" si="37"/>
        <v>0</v>
      </c>
      <c r="AU62" s="18">
        <f t="shared" si="37"/>
        <v>0</v>
      </c>
      <c r="AV62" s="18">
        <f t="shared" si="37"/>
        <v>0</v>
      </c>
      <c r="AW62" s="18">
        <f t="shared" si="37"/>
        <v>0</v>
      </c>
      <c r="AX62" s="18">
        <f t="shared" si="37"/>
        <v>0</v>
      </c>
      <c r="AY62" s="18">
        <f t="shared" si="37"/>
        <v>0</v>
      </c>
      <c r="AZ62" s="386">
        <f t="shared" si="37"/>
        <v>0</v>
      </c>
    </row>
    <row r="63" spans="1:52" hidden="1" outlineLevel="1">
      <c r="A63" s="67" t="s">
        <v>155</v>
      </c>
      <c r="C63" s="383"/>
      <c r="D63" s="387"/>
      <c r="E63" s="387"/>
      <c r="F63" s="387"/>
      <c r="G63" s="384">
        <f>SUM(C$9:G$9)</f>
        <v>0.45000000000000007</v>
      </c>
      <c r="H63" s="18">
        <f t="shared" ref="H63:AF63" si="41">H$9</f>
        <v>0.1</v>
      </c>
      <c r="I63" s="18">
        <f t="shared" si="41"/>
        <v>0.05</v>
      </c>
      <c r="J63" s="18">
        <f t="shared" si="41"/>
        <v>0.05</v>
      </c>
      <c r="K63" s="18">
        <f t="shared" si="41"/>
        <v>0.1</v>
      </c>
      <c r="L63" s="18">
        <f t="shared" si="41"/>
        <v>0.05</v>
      </c>
      <c r="M63" s="18">
        <f t="shared" si="41"/>
        <v>0.05</v>
      </c>
      <c r="N63" s="18">
        <f t="shared" si="41"/>
        <v>0</v>
      </c>
      <c r="O63" s="18">
        <f t="shared" si="41"/>
        <v>0</v>
      </c>
      <c r="P63" s="18">
        <f t="shared" si="41"/>
        <v>0.05</v>
      </c>
      <c r="Q63" s="18">
        <f t="shared" si="41"/>
        <v>0</v>
      </c>
      <c r="R63" s="18">
        <f t="shared" si="41"/>
        <v>0</v>
      </c>
      <c r="S63" s="18">
        <f t="shared" si="41"/>
        <v>0</v>
      </c>
      <c r="T63" s="18">
        <f t="shared" si="41"/>
        <v>0</v>
      </c>
      <c r="U63" s="18">
        <f t="shared" si="41"/>
        <v>0</v>
      </c>
      <c r="V63" s="18">
        <f t="shared" si="41"/>
        <v>0</v>
      </c>
      <c r="W63" s="18">
        <f t="shared" si="41"/>
        <v>0</v>
      </c>
      <c r="X63" s="18">
        <f t="shared" si="41"/>
        <v>0</v>
      </c>
      <c r="Y63" s="18">
        <f t="shared" si="41"/>
        <v>0</v>
      </c>
      <c r="Z63" s="18">
        <f t="shared" si="41"/>
        <v>0</v>
      </c>
      <c r="AA63" s="18">
        <f t="shared" si="41"/>
        <v>0</v>
      </c>
      <c r="AB63" s="18">
        <f t="shared" si="41"/>
        <v>0</v>
      </c>
      <c r="AC63" s="18">
        <f t="shared" si="41"/>
        <v>0</v>
      </c>
      <c r="AD63" s="18">
        <f t="shared" si="41"/>
        <v>0</v>
      </c>
      <c r="AE63" s="18">
        <f t="shared" si="41"/>
        <v>0</v>
      </c>
      <c r="AF63" s="18">
        <f t="shared" si="41"/>
        <v>0</v>
      </c>
      <c r="AG63" s="18">
        <f t="shared" si="37"/>
        <v>0</v>
      </c>
      <c r="AH63" s="18">
        <f t="shared" si="37"/>
        <v>0</v>
      </c>
      <c r="AI63" s="18">
        <f t="shared" si="37"/>
        <v>0</v>
      </c>
      <c r="AJ63" s="18">
        <f t="shared" si="37"/>
        <v>0</v>
      </c>
      <c r="AK63" s="18">
        <f t="shared" si="37"/>
        <v>0</v>
      </c>
      <c r="AL63" s="18">
        <f t="shared" si="37"/>
        <v>0</v>
      </c>
      <c r="AM63" s="18">
        <f t="shared" si="37"/>
        <v>0</v>
      </c>
      <c r="AN63" s="18">
        <f t="shared" si="37"/>
        <v>0</v>
      </c>
      <c r="AO63" s="18">
        <f t="shared" si="37"/>
        <v>0</v>
      </c>
      <c r="AP63" s="18">
        <f t="shared" si="37"/>
        <v>0</v>
      </c>
      <c r="AQ63" s="18">
        <f t="shared" si="37"/>
        <v>0</v>
      </c>
      <c r="AR63" s="18">
        <f t="shared" si="37"/>
        <v>0</v>
      </c>
      <c r="AS63" s="18">
        <f t="shared" si="37"/>
        <v>0</v>
      </c>
      <c r="AT63" s="18">
        <f t="shared" si="37"/>
        <v>0</v>
      </c>
      <c r="AU63" s="18">
        <f t="shared" si="37"/>
        <v>0</v>
      </c>
      <c r="AV63" s="18">
        <f t="shared" si="37"/>
        <v>0</v>
      </c>
      <c r="AW63" s="18">
        <f t="shared" si="37"/>
        <v>0</v>
      </c>
      <c r="AX63" s="18">
        <f t="shared" si="37"/>
        <v>0</v>
      </c>
      <c r="AY63" s="18">
        <f t="shared" si="37"/>
        <v>0</v>
      </c>
      <c r="AZ63" s="386">
        <f t="shared" si="37"/>
        <v>0</v>
      </c>
    </row>
    <row r="64" spans="1:52" hidden="1" outlineLevel="1">
      <c r="A64" s="67" t="s">
        <v>156</v>
      </c>
      <c r="C64" s="383"/>
      <c r="D64" s="387"/>
      <c r="E64" s="387"/>
      <c r="F64" s="387"/>
      <c r="G64" s="387"/>
      <c r="H64" s="384">
        <f>SUM(C$9:H$9)</f>
        <v>0.55000000000000004</v>
      </c>
      <c r="I64" s="18">
        <f t="shared" ref="I64:AF64" si="42">I$9</f>
        <v>0.05</v>
      </c>
      <c r="J64" s="18">
        <f t="shared" si="42"/>
        <v>0.05</v>
      </c>
      <c r="K64" s="18">
        <f t="shared" si="42"/>
        <v>0.1</v>
      </c>
      <c r="L64" s="18">
        <f t="shared" si="42"/>
        <v>0.05</v>
      </c>
      <c r="M64" s="18">
        <f t="shared" si="42"/>
        <v>0.05</v>
      </c>
      <c r="N64" s="18">
        <f t="shared" si="42"/>
        <v>0</v>
      </c>
      <c r="O64" s="18">
        <f t="shared" si="42"/>
        <v>0</v>
      </c>
      <c r="P64" s="18">
        <f t="shared" si="42"/>
        <v>0.05</v>
      </c>
      <c r="Q64" s="18">
        <f t="shared" si="42"/>
        <v>0</v>
      </c>
      <c r="R64" s="18">
        <f t="shared" si="42"/>
        <v>0</v>
      </c>
      <c r="S64" s="18">
        <f t="shared" si="42"/>
        <v>0</v>
      </c>
      <c r="T64" s="18">
        <f t="shared" si="42"/>
        <v>0</v>
      </c>
      <c r="U64" s="18">
        <f t="shared" si="42"/>
        <v>0</v>
      </c>
      <c r="V64" s="18">
        <f t="shared" si="42"/>
        <v>0</v>
      </c>
      <c r="W64" s="18">
        <f t="shared" si="42"/>
        <v>0</v>
      </c>
      <c r="X64" s="18">
        <f t="shared" si="42"/>
        <v>0</v>
      </c>
      <c r="Y64" s="18">
        <f t="shared" si="42"/>
        <v>0</v>
      </c>
      <c r="Z64" s="18">
        <f t="shared" si="42"/>
        <v>0</v>
      </c>
      <c r="AA64" s="18">
        <f t="shared" si="42"/>
        <v>0</v>
      </c>
      <c r="AB64" s="18">
        <f t="shared" si="42"/>
        <v>0</v>
      </c>
      <c r="AC64" s="18">
        <f t="shared" si="42"/>
        <v>0</v>
      </c>
      <c r="AD64" s="18">
        <f t="shared" si="42"/>
        <v>0</v>
      </c>
      <c r="AE64" s="18">
        <f t="shared" si="42"/>
        <v>0</v>
      </c>
      <c r="AF64" s="18">
        <f t="shared" si="42"/>
        <v>0</v>
      </c>
      <c r="AG64" s="18">
        <f t="shared" si="37"/>
        <v>0</v>
      </c>
      <c r="AH64" s="18">
        <f t="shared" si="37"/>
        <v>0</v>
      </c>
      <c r="AI64" s="18">
        <f t="shared" si="37"/>
        <v>0</v>
      </c>
      <c r="AJ64" s="18">
        <f t="shared" si="37"/>
        <v>0</v>
      </c>
      <c r="AK64" s="18">
        <f t="shared" si="37"/>
        <v>0</v>
      </c>
      <c r="AL64" s="18">
        <f t="shared" si="37"/>
        <v>0</v>
      </c>
      <c r="AM64" s="18">
        <f t="shared" si="37"/>
        <v>0</v>
      </c>
      <c r="AN64" s="18">
        <f t="shared" si="37"/>
        <v>0</v>
      </c>
      <c r="AO64" s="18">
        <f t="shared" si="37"/>
        <v>0</v>
      </c>
      <c r="AP64" s="18">
        <f t="shared" si="37"/>
        <v>0</v>
      </c>
      <c r="AQ64" s="18">
        <f t="shared" si="37"/>
        <v>0</v>
      </c>
      <c r="AR64" s="18">
        <f t="shared" si="37"/>
        <v>0</v>
      </c>
      <c r="AS64" s="18">
        <f t="shared" si="37"/>
        <v>0</v>
      </c>
      <c r="AT64" s="18">
        <f t="shared" si="37"/>
        <v>0</v>
      </c>
      <c r="AU64" s="18">
        <f t="shared" si="37"/>
        <v>0</v>
      </c>
      <c r="AV64" s="18">
        <f t="shared" si="37"/>
        <v>0</v>
      </c>
      <c r="AW64" s="18">
        <f t="shared" si="37"/>
        <v>0</v>
      </c>
      <c r="AX64" s="18">
        <f t="shared" si="37"/>
        <v>0</v>
      </c>
      <c r="AY64" s="18">
        <f t="shared" si="37"/>
        <v>0</v>
      </c>
      <c r="AZ64" s="386">
        <f t="shared" si="37"/>
        <v>0</v>
      </c>
    </row>
    <row r="65" spans="1:52" hidden="1" outlineLevel="1">
      <c r="A65" s="67" t="s">
        <v>157</v>
      </c>
      <c r="C65" s="383"/>
      <c r="D65" s="387"/>
      <c r="E65" s="387"/>
      <c r="F65" s="387"/>
      <c r="G65" s="387"/>
      <c r="H65" s="387"/>
      <c r="I65" s="384">
        <f>SUM(C$9:I$9)</f>
        <v>0.60000000000000009</v>
      </c>
      <c r="J65" s="18">
        <f t="shared" ref="J65:AF65" si="43">J$9</f>
        <v>0.05</v>
      </c>
      <c r="K65" s="18">
        <f t="shared" si="43"/>
        <v>0.1</v>
      </c>
      <c r="L65" s="18">
        <f t="shared" si="43"/>
        <v>0.05</v>
      </c>
      <c r="M65" s="18">
        <f t="shared" si="43"/>
        <v>0.05</v>
      </c>
      <c r="N65" s="18">
        <f t="shared" si="43"/>
        <v>0</v>
      </c>
      <c r="O65" s="18">
        <f t="shared" si="43"/>
        <v>0</v>
      </c>
      <c r="P65" s="18">
        <f t="shared" si="43"/>
        <v>0.05</v>
      </c>
      <c r="Q65" s="18">
        <f t="shared" si="43"/>
        <v>0</v>
      </c>
      <c r="R65" s="18">
        <f t="shared" si="43"/>
        <v>0</v>
      </c>
      <c r="S65" s="18">
        <f t="shared" si="43"/>
        <v>0</v>
      </c>
      <c r="T65" s="18">
        <f t="shared" si="43"/>
        <v>0</v>
      </c>
      <c r="U65" s="18">
        <f t="shared" si="43"/>
        <v>0</v>
      </c>
      <c r="V65" s="18">
        <f t="shared" si="43"/>
        <v>0</v>
      </c>
      <c r="W65" s="18">
        <f t="shared" si="43"/>
        <v>0</v>
      </c>
      <c r="X65" s="18">
        <f t="shared" si="43"/>
        <v>0</v>
      </c>
      <c r="Y65" s="18">
        <f t="shared" si="43"/>
        <v>0</v>
      </c>
      <c r="Z65" s="18">
        <f t="shared" si="43"/>
        <v>0</v>
      </c>
      <c r="AA65" s="18">
        <f t="shared" si="43"/>
        <v>0</v>
      </c>
      <c r="AB65" s="18">
        <f t="shared" si="43"/>
        <v>0</v>
      </c>
      <c r="AC65" s="18">
        <f t="shared" si="43"/>
        <v>0</v>
      </c>
      <c r="AD65" s="18">
        <f t="shared" si="43"/>
        <v>0</v>
      </c>
      <c r="AE65" s="18">
        <f t="shared" si="43"/>
        <v>0</v>
      </c>
      <c r="AF65" s="18">
        <f t="shared" si="43"/>
        <v>0</v>
      </c>
      <c r="AG65" s="18">
        <f t="shared" si="37"/>
        <v>0</v>
      </c>
      <c r="AH65" s="18">
        <f t="shared" si="37"/>
        <v>0</v>
      </c>
      <c r="AI65" s="18">
        <f t="shared" si="37"/>
        <v>0</v>
      </c>
      <c r="AJ65" s="18">
        <f t="shared" si="37"/>
        <v>0</v>
      </c>
      <c r="AK65" s="18">
        <f t="shared" si="37"/>
        <v>0</v>
      </c>
      <c r="AL65" s="18">
        <f t="shared" si="37"/>
        <v>0</v>
      </c>
      <c r="AM65" s="18">
        <f t="shared" si="37"/>
        <v>0</v>
      </c>
      <c r="AN65" s="18">
        <f t="shared" si="37"/>
        <v>0</v>
      </c>
      <c r="AO65" s="18">
        <f t="shared" si="37"/>
        <v>0</v>
      </c>
      <c r="AP65" s="18">
        <f t="shared" si="37"/>
        <v>0</v>
      </c>
      <c r="AQ65" s="18">
        <f t="shared" si="37"/>
        <v>0</v>
      </c>
      <c r="AR65" s="18">
        <f t="shared" si="37"/>
        <v>0</v>
      </c>
      <c r="AS65" s="18">
        <f t="shared" si="37"/>
        <v>0</v>
      </c>
      <c r="AT65" s="18">
        <f t="shared" si="37"/>
        <v>0</v>
      </c>
      <c r="AU65" s="18">
        <f t="shared" si="37"/>
        <v>0</v>
      </c>
      <c r="AV65" s="18">
        <f t="shared" si="37"/>
        <v>0</v>
      </c>
      <c r="AW65" s="18">
        <f t="shared" si="37"/>
        <v>0</v>
      </c>
      <c r="AX65" s="18">
        <f t="shared" si="37"/>
        <v>0</v>
      </c>
      <c r="AY65" s="18">
        <f t="shared" si="37"/>
        <v>0</v>
      </c>
      <c r="AZ65" s="386">
        <f t="shared" si="37"/>
        <v>0</v>
      </c>
    </row>
    <row r="66" spans="1:52" hidden="1" outlineLevel="1">
      <c r="A66" s="67" t="s">
        <v>158</v>
      </c>
      <c r="C66" s="383"/>
      <c r="D66" s="387"/>
      <c r="E66" s="387"/>
      <c r="F66" s="387"/>
      <c r="G66" s="387"/>
      <c r="H66" s="387"/>
      <c r="I66" s="387"/>
      <c r="J66" s="384">
        <f>SUM(C$9:J$9)</f>
        <v>0.65000000000000013</v>
      </c>
      <c r="K66" s="18">
        <f t="shared" ref="K66:AF66" si="44">K$9</f>
        <v>0.1</v>
      </c>
      <c r="L66" s="18">
        <f t="shared" si="44"/>
        <v>0.05</v>
      </c>
      <c r="M66" s="18">
        <f t="shared" si="44"/>
        <v>0.05</v>
      </c>
      <c r="N66" s="18">
        <f t="shared" si="44"/>
        <v>0</v>
      </c>
      <c r="O66" s="18">
        <f t="shared" si="44"/>
        <v>0</v>
      </c>
      <c r="P66" s="18">
        <f t="shared" si="44"/>
        <v>0.05</v>
      </c>
      <c r="Q66" s="18">
        <f t="shared" si="44"/>
        <v>0</v>
      </c>
      <c r="R66" s="18">
        <f t="shared" si="44"/>
        <v>0</v>
      </c>
      <c r="S66" s="18">
        <f t="shared" si="44"/>
        <v>0</v>
      </c>
      <c r="T66" s="18">
        <f t="shared" si="44"/>
        <v>0</v>
      </c>
      <c r="U66" s="18">
        <f t="shared" si="44"/>
        <v>0</v>
      </c>
      <c r="V66" s="18">
        <f t="shared" si="44"/>
        <v>0</v>
      </c>
      <c r="W66" s="18">
        <f t="shared" si="44"/>
        <v>0</v>
      </c>
      <c r="X66" s="18">
        <f t="shared" si="44"/>
        <v>0</v>
      </c>
      <c r="Y66" s="18">
        <f t="shared" si="44"/>
        <v>0</v>
      </c>
      <c r="Z66" s="18">
        <f t="shared" si="44"/>
        <v>0</v>
      </c>
      <c r="AA66" s="18">
        <f t="shared" si="44"/>
        <v>0</v>
      </c>
      <c r="AB66" s="18">
        <f t="shared" si="44"/>
        <v>0</v>
      </c>
      <c r="AC66" s="18">
        <f t="shared" si="44"/>
        <v>0</v>
      </c>
      <c r="AD66" s="18">
        <f t="shared" si="44"/>
        <v>0</v>
      </c>
      <c r="AE66" s="18">
        <f t="shared" si="44"/>
        <v>0</v>
      </c>
      <c r="AF66" s="18">
        <f t="shared" si="44"/>
        <v>0</v>
      </c>
      <c r="AG66" s="18">
        <f t="shared" si="37"/>
        <v>0</v>
      </c>
      <c r="AH66" s="18">
        <f t="shared" si="37"/>
        <v>0</v>
      </c>
      <c r="AI66" s="18">
        <f t="shared" si="37"/>
        <v>0</v>
      </c>
      <c r="AJ66" s="18">
        <f t="shared" si="37"/>
        <v>0</v>
      </c>
      <c r="AK66" s="18">
        <f t="shared" si="37"/>
        <v>0</v>
      </c>
      <c r="AL66" s="18">
        <f t="shared" si="37"/>
        <v>0</v>
      </c>
      <c r="AM66" s="18">
        <f t="shared" si="37"/>
        <v>0</v>
      </c>
      <c r="AN66" s="18">
        <f t="shared" si="37"/>
        <v>0</v>
      </c>
      <c r="AO66" s="18">
        <f t="shared" si="37"/>
        <v>0</v>
      </c>
      <c r="AP66" s="18">
        <f t="shared" si="37"/>
        <v>0</v>
      </c>
      <c r="AQ66" s="18">
        <f t="shared" si="37"/>
        <v>0</v>
      </c>
      <c r="AR66" s="18">
        <f t="shared" si="37"/>
        <v>0</v>
      </c>
      <c r="AS66" s="18">
        <f t="shared" si="37"/>
        <v>0</v>
      </c>
      <c r="AT66" s="18">
        <f t="shared" si="37"/>
        <v>0</v>
      </c>
      <c r="AU66" s="18">
        <f t="shared" si="37"/>
        <v>0</v>
      </c>
      <c r="AV66" s="18">
        <f t="shared" si="37"/>
        <v>0</v>
      </c>
      <c r="AW66" s="18">
        <f t="shared" si="37"/>
        <v>0</v>
      </c>
      <c r="AX66" s="18">
        <f t="shared" si="37"/>
        <v>0</v>
      </c>
      <c r="AY66" s="18">
        <f t="shared" si="37"/>
        <v>0</v>
      </c>
      <c r="AZ66" s="386">
        <f t="shared" si="37"/>
        <v>0</v>
      </c>
    </row>
    <row r="67" spans="1:52" hidden="1" outlineLevel="1">
      <c r="A67" s="67" t="s">
        <v>159</v>
      </c>
      <c r="C67" s="383"/>
      <c r="D67" s="387"/>
      <c r="E67" s="387"/>
      <c r="F67" s="387"/>
      <c r="G67" s="387"/>
      <c r="H67" s="387"/>
      <c r="I67" s="387"/>
      <c r="J67" s="387"/>
      <c r="K67" s="384">
        <f>SUM(C$9:K$9)</f>
        <v>0.75000000000000011</v>
      </c>
      <c r="L67" s="18">
        <f t="shared" ref="L67:AM67" si="45">L$9</f>
        <v>0.05</v>
      </c>
      <c r="M67" s="18">
        <f t="shared" si="45"/>
        <v>0.05</v>
      </c>
      <c r="N67" s="18">
        <f t="shared" si="45"/>
        <v>0</v>
      </c>
      <c r="O67" s="18">
        <f t="shared" si="45"/>
        <v>0</v>
      </c>
      <c r="P67" s="18">
        <f t="shared" si="45"/>
        <v>0.05</v>
      </c>
      <c r="Q67" s="18">
        <f t="shared" si="45"/>
        <v>0</v>
      </c>
      <c r="R67" s="18">
        <f t="shared" si="45"/>
        <v>0</v>
      </c>
      <c r="S67" s="18">
        <f t="shared" si="45"/>
        <v>0</v>
      </c>
      <c r="T67" s="18">
        <f t="shared" si="45"/>
        <v>0</v>
      </c>
      <c r="U67" s="18">
        <f t="shared" si="45"/>
        <v>0</v>
      </c>
      <c r="V67" s="18">
        <f t="shared" si="45"/>
        <v>0</v>
      </c>
      <c r="W67" s="18">
        <f t="shared" si="45"/>
        <v>0</v>
      </c>
      <c r="X67" s="18">
        <f t="shared" si="45"/>
        <v>0</v>
      </c>
      <c r="Y67" s="18">
        <f t="shared" si="45"/>
        <v>0</v>
      </c>
      <c r="Z67" s="18">
        <f t="shared" si="45"/>
        <v>0</v>
      </c>
      <c r="AA67" s="18">
        <f t="shared" si="45"/>
        <v>0</v>
      </c>
      <c r="AB67" s="18">
        <f t="shared" si="45"/>
        <v>0</v>
      </c>
      <c r="AC67" s="18">
        <f t="shared" si="45"/>
        <v>0</v>
      </c>
      <c r="AD67" s="18">
        <f t="shared" si="45"/>
        <v>0</v>
      </c>
      <c r="AE67" s="18">
        <f t="shared" si="45"/>
        <v>0</v>
      </c>
      <c r="AF67" s="18">
        <f t="shared" si="45"/>
        <v>0</v>
      </c>
      <c r="AG67" s="18">
        <f t="shared" si="45"/>
        <v>0</v>
      </c>
      <c r="AH67" s="18">
        <f t="shared" si="45"/>
        <v>0</v>
      </c>
      <c r="AI67" s="18">
        <f t="shared" si="45"/>
        <v>0</v>
      </c>
      <c r="AJ67" s="18">
        <f t="shared" si="45"/>
        <v>0</v>
      </c>
      <c r="AK67" s="18">
        <f t="shared" si="45"/>
        <v>0</v>
      </c>
      <c r="AL67" s="18">
        <f t="shared" si="45"/>
        <v>0</v>
      </c>
      <c r="AM67" s="18">
        <f t="shared" si="45"/>
        <v>0</v>
      </c>
      <c r="AN67" s="18">
        <f t="shared" si="37"/>
        <v>0</v>
      </c>
      <c r="AO67" s="18">
        <f t="shared" si="37"/>
        <v>0</v>
      </c>
      <c r="AP67" s="18">
        <f t="shared" si="37"/>
        <v>0</v>
      </c>
      <c r="AQ67" s="18">
        <f t="shared" si="37"/>
        <v>0</v>
      </c>
      <c r="AR67" s="18">
        <f t="shared" si="37"/>
        <v>0</v>
      </c>
      <c r="AS67" s="18">
        <f t="shared" si="37"/>
        <v>0</v>
      </c>
      <c r="AT67" s="18">
        <f t="shared" si="37"/>
        <v>0</v>
      </c>
      <c r="AU67" s="18">
        <f t="shared" si="37"/>
        <v>0</v>
      </c>
      <c r="AV67" s="18">
        <f t="shared" si="37"/>
        <v>0</v>
      </c>
      <c r="AW67" s="18">
        <f t="shared" si="37"/>
        <v>0</v>
      </c>
      <c r="AX67" s="18">
        <f t="shared" si="37"/>
        <v>0</v>
      </c>
      <c r="AY67" s="18">
        <f t="shared" si="37"/>
        <v>0</v>
      </c>
      <c r="AZ67" s="386">
        <f t="shared" si="37"/>
        <v>0</v>
      </c>
    </row>
    <row r="68" spans="1:52" hidden="1" outlineLevel="1">
      <c r="A68" s="67" t="s">
        <v>160</v>
      </c>
      <c r="C68" s="383"/>
      <c r="D68" s="387"/>
      <c r="E68" s="387"/>
      <c r="F68" s="387"/>
      <c r="G68" s="387"/>
      <c r="H68" s="387"/>
      <c r="I68" s="387"/>
      <c r="J68" s="387"/>
      <c r="K68" s="387"/>
      <c r="L68" s="384">
        <f>SUM(C$9:L$9)</f>
        <v>0.80000000000000016</v>
      </c>
      <c r="M68" s="18">
        <f t="shared" ref="M68:AF68" si="46">M$9</f>
        <v>0.05</v>
      </c>
      <c r="N68" s="18">
        <f t="shared" si="46"/>
        <v>0</v>
      </c>
      <c r="O68" s="18">
        <f t="shared" si="46"/>
        <v>0</v>
      </c>
      <c r="P68" s="18">
        <f t="shared" si="46"/>
        <v>0.05</v>
      </c>
      <c r="Q68" s="18">
        <f t="shared" si="46"/>
        <v>0</v>
      </c>
      <c r="R68" s="18">
        <f t="shared" si="46"/>
        <v>0</v>
      </c>
      <c r="S68" s="18">
        <f t="shared" si="46"/>
        <v>0</v>
      </c>
      <c r="T68" s="18">
        <f t="shared" si="46"/>
        <v>0</v>
      </c>
      <c r="U68" s="18">
        <f t="shared" si="46"/>
        <v>0</v>
      </c>
      <c r="V68" s="18">
        <f t="shared" si="46"/>
        <v>0</v>
      </c>
      <c r="W68" s="18">
        <f t="shared" si="46"/>
        <v>0</v>
      </c>
      <c r="X68" s="18">
        <f t="shared" si="46"/>
        <v>0</v>
      </c>
      <c r="Y68" s="18">
        <f t="shared" si="46"/>
        <v>0</v>
      </c>
      <c r="Z68" s="18">
        <f t="shared" si="46"/>
        <v>0</v>
      </c>
      <c r="AA68" s="18">
        <f t="shared" si="46"/>
        <v>0</v>
      </c>
      <c r="AB68" s="18">
        <f t="shared" si="46"/>
        <v>0</v>
      </c>
      <c r="AC68" s="18">
        <f t="shared" si="46"/>
        <v>0</v>
      </c>
      <c r="AD68" s="18">
        <f t="shared" si="46"/>
        <v>0</v>
      </c>
      <c r="AE68" s="18">
        <f t="shared" si="46"/>
        <v>0</v>
      </c>
      <c r="AF68" s="18">
        <f t="shared" si="46"/>
        <v>0</v>
      </c>
      <c r="AG68" s="18">
        <f t="shared" si="37"/>
        <v>0</v>
      </c>
      <c r="AH68" s="18">
        <f t="shared" si="37"/>
        <v>0</v>
      </c>
      <c r="AI68" s="18">
        <f t="shared" si="37"/>
        <v>0</v>
      </c>
      <c r="AJ68" s="18">
        <f t="shared" si="37"/>
        <v>0</v>
      </c>
      <c r="AK68" s="18">
        <f t="shared" si="37"/>
        <v>0</v>
      </c>
      <c r="AL68" s="18">
        <f t="shared" si="37"/>
        <v>0</v>
      </c>
      <c r="AM68" s="18">
        <f t="shared" si="37"/>
        <v>0</v>
      </c>
      <c r="AN68" s="18">
        <f t="shared" si="37"/>
        <v>0</v>
      </c>
      <c r="AO68" s="18">
        <f t="shared" si="37"/>
        <v>0</v>
      </c>
      <c r="AP68" s="18">
        <f t="shared" si="37"/>
        <v>0</v>
      </c>
      <c r="AQ68" s="18">
        <f t="shared" si="37"/>
        <v>0</v>
      </c>
      <c r="AR68" s="18">
        <f t="shared" si="37"/>
        <v>0</v>
      </c>
      <c r="AS68" s="18">
        <f t="shared" si="37"/>
        <v>0</v>
      </c>
      <c r="AT68" s="18">
        <f t="shared" si="37"/>
        <v>0</v>
      </c>
      <c r="AU68" s="18">
        <f t="shared" si="37"/>
        <v>0</v>
      </c>
      <c r="AV68" s="18">
        <f t="shared" si="37"/>
        <v>0</v>
      </c>
      <c r="AW68" s="18">
        <f t="shared" si="37"/>
        <v>0</v>
      </c>
      <c r="AX68" s="18">
        <f t="shared" si="37"/>
        <v>0</v>
      </c>
      <c r="AY68" s="18">
        <f t="shared" si="37"/>
        <v>0</v>
      </c>
      <c r="AZ68" s="386">
        <f t="shared" si="37"/>
        <v>0</v>
      </c>
    </row>
    <row r="69" spans="1:52" hidden="1" outlineLevel="1">
      <c r="A69" s="67" t="s">
        <v>163</v>
      </c>
      <c r="C69" s="383"/>
      <c r="D69" s="387"/>
      <c r="E69" s="387"/>
      <c r="F69" s="387"/>
      <c r="G69" s="387"/>
      <c r="H69" s="387"/>
      <c r="I69" s="387"/>
      <c r="J69" s="387"/>
      <c r="K69" s="387"/>
      <c r="L69" s="387"/>
      <c r="M69" s="384">
        <f>SUM(C$9:M$9)</f>
        <v>0.8500000000000002</v>
      </c>
      <c r="N69" s="18">
        <f t="shared" ref="N69:AF69" si="47">N$9</f>
        <v>0</v>
      </c>
      <c r="O69" s="18">
        <f t="shared" si="47"/>
        <v>0</v>
      </c>
      <c r="P69" s="18">
        <f t="shared" si="47"/>
        <v>0.05</v>
      </c>
      <c r="Q69" s="18">
        <f t="shared" si="47"/>
        <v>0</v>
      </c>
      <c r="R69" s="18">
        <f t="shared" si="47"/>
        <v>0</v>
      </c>
      <c r="S69" s="18">
        <f t="shared" si="47"/>
        <v>0</v>
      </c>
      <c r="T69" s="18">
        <f t="shared" si="47"/>
        <v>0</v>
      </c>
      <c r="U69" s="18">
        <f t="shared" si="47"/>
        <v>0</v>
      </c>
      <c r="V69" s="18">
        <f t="shared" si="47"/>
        <v>0</v>
      </c>
      <c r="W69" s="18">
        <f t="shared" si="47"/>
        <v>0</v>
      </c>
      <c r="X69" s="18">
        <f t="shared" si="47"/>
        <v>0</v>
      </c>
      <c r="Y69" s="18">
        <f t="shared" si="47"/>
        <v>0</v>
      </c>
      <c r="Z69" s="18">
        <f t="shared" si="47"/>
        <v>0</v>
      </c>
      <c r="AA69" s="18">
        <f t="shared" si="47"/>
        <v>0</v>
      </c>
      <c r="AB69" s="18">
        <f t="shared" si="47"/>
        <v>0</v>
      </c>
      <c r="AC69" s="18">
        <f t="shared" si="47"/>
        <v>0</v>
      </c>
      <c r="AD69" s="18">
        <f t="shared" si="47"/>
        <v>0</v>
      </c>
      <c r="AE69" s="18">
        <f t="shared" si="47"/>
        <v>0</v>
      </c>
      <c r="AF69" s="18">
        <f t="shared" si="47"/>
        <v>0</v>
      </c>
      <c r="AG69" s="18">
        <f t="shared" si="37"/>
        <v>0</v>
      </c>
      <c r="AH69" s="18">
        <f t="shared" si="37"/>
        <v>0</v>
      </c>
      <c r="AI69" s="18">
        <f t="shared" si="37"/>
        <v>0</v>
      </c>
      <c r="AJ69" s="18">
        <f t="shared" si="37"/>
        <v>0</v>
      </c>
      <c r="AK69" s="18">
        <f t="shared" si="37"/>
        <v>0</v>
      </c>
      <c r="AL69" s="18">
        <f t="shared" si="37"/>
        <v>0</v>
      </c>
      <c r="AM69" s="18">
        <f t="shared" si="37"/>
        <v>0</v>
      </c>
      <c r="AN69" s="18">
        <f t="shared" si="37"/>
        <v>0</v>
      </c>
      <c r="AO69" s="18">
        <f t="shared" si="37"/>
        <v>0</v>
      </c>
      <c r="AP69" s="18">
        <f t="shared" si="37"/>
        <v>0</v>
      </c>
      <c r="AQ69" s="18">
        <f t="shared" si="37"/>
        <v>0</v>
      </c>
      <c r="AR69" s="18">
        <f t="shared" si="37"/>
        <v>0</v>
      </c>
      <c r="AS69" s="18">
        <f t="shared" si="37"/>
        <v>0</v>
      </c>
      <c r="AT69" s="18">
        <f t="shared" si="37"/>
        <v>0</v>
      </c>
      <c r="AU69" s="18">
        <f t="shared" si="37"/>
        <v>0</v>
      </c>
      <c r="AV69" s="18">
        <f t="shared" si="37"/>
        <v>0</v>
      </c>
      <c r="AW69" s="18">
        <f t="shared" si="37"/>
        <v>0</v>
      </c>
      <c r="AX69" s="18">
        <f t="shared" si="37"/>
        <v>0</v>
      </c>
      <c r="AY69" s="18">
        <f t="shared" si="37"/>
        <v>0</v>
      </c>
      <c r="AZ69" s="386">
        <f t="shared" si="37"/>
        <v>0</v>
      </c>
    </row>
    <row r="70" spans="1:52" hidden="1" outlineLevel="1">
      <c r="A70" s="67" t="s">
        <v>164</v>
      </c>
      <c r="C70" s="383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4">
        <f>SUM(C$9:N$9)</f>
        <v>0.8500000000000002</v>
      </c>
      <c r="O70" s="18">
        <f t="shared" ref="O70:AF70" si="48">O$9</f>
        <v>0</v>
      </c>
      <c r="P70" s="18">
        <f t="shared" si="48"/>
        <v>0.05</v>
      </c>
      <c r="Q70" s="18">
        <f t="shared" si="48"/>
        <v>0</v>
      </c>
      <c r="R70" s="18">
        <f t="shared" si="48"/>
        <v>0</v>
      </c>
      <c r="S70" s="18">
        <f t="shared" si="48"/>
        <v>0</v>
      </c>
      <c r="T70" s="18">
        <f t="shared" si="48"/>
        <v>0</v>
      </c>
      <c r="U70" s="18">
        <f t="shared" si="48"/>
        <v>0</v>
      </c>
      <c r="V70" s="18">
        <f t="shared" si="48"/>
        <v>0</v>
      </c>
      <c r="W70" s="18">
        <f t="shared" si="48"/>
        <v>0</v>
      </c>
      <c r="X70" s="18">
        <f t="shared" si="48"/>
        <v>0</v>
      </c>
      <c r="Y70" s="18">
        <f t="shared" si="48"/>
        <v>0</v>
      </c>
      <c r="Z70" s="18">
        <f t="shared" si="48"/>
        <v>0</v>
      </c>
      <c r="AA70" s="18">
        <f t="shared" si="48"/>
        <v>0</v>
      </c>
      <c r="AB70" s="18">
        <f t="shared" si="48"/>
        <v>0</v>
      </c>
      <c r="AC70" s="18">
        <f t="shared" si="48"/>
        <v>0</v>
      </c>
      <c r="AD70" s="18">
        <f t="shared" si="48"/>
        <v>0</v>
      </c>
      <c r="AE70" s="18">
        <f t="shared" si="48"/>
        <v>0</v>
      </c>
      <c r="AF70" s="18">
        <f t="shared" si="48"/>
        <v>0</v>
      </c>
      <c r="AG70" s="18">
        <f t="shared" si="37"/>
        <v>0</v>
      </c>
      <c r="AH70" s="18">
        <f t="shared" si="37"/>
        <v>0</v>
      </c>
      <c r="AI70" s="18">
        <f t="shared" si="37"/>
        <v>0</v>
      </c>
      <c r="AJ70" s="18">
        <f t="shared" si="37"/>
        <v>0</v>
      </c>
      <c r="AK70" s="18">
        <f t="shared" si="37"/>
        <v>0</v>
      </c>
      <c r="AL70" s="18">
        <f t="shared" si="37"/>
        <v>0</v>
      </c>
      <c r="AM70" s="18">
        <f t="shared" si="37"/>
        <v>0</v>
      </c>
      <c r="AN70" s="18">
        <f t="shared" si="37"/>
        <v>0</v>
      </c>
      <c r="AO70" s="18">
        <f t="shared" si="37"/>
        <v>0</v>
      </c>
      <c r="AP70" s="18">
        <f t="shared" si="37"/>
        <v>0</v>
      </c>
      <c r="AQ70" s="18">
        <f t="shared" si="37"/>
        <v>0</v>
      </c>
      <c r="AR70" s="18">
        <f t="shared" si="37"/>
        <v>0</v>
      </c>
      <c r="AS70" s="18">
        <f t="shared" si="37"/>
        <v>0</v>
      </c>
      <c r="AT70" s="18">
        <f t="shared" si="37"/>
        <v>0</v>
      </c>
      <c r="AU70" s="18">
        <f t="shared" si="37"/>
        <v>0</v>
      </c>
      <c r="AV70" s="18">
        <f t="shared" si="37"/>
        <v>0</v>
      </c>
      <c r="AW70" s="18">
        <f t="shared" si="37"/>
        <v>0</v>
      </c>
      <c r="AX70" s="18">
        <f t="shared" si="37"/>
        <v>0</v>
      </c>
      <c r="AY70" s="18">
        <f t="shared" si="37"/>
        <v>0</v>
      </c>
      <c r="AZ70" s="386">
        <f t="shared" si="37"/>
        <v>0</v>
      </c>
    </row>
    <row r="71" spans="1:52" hidden="1" outlineLevel="1">
      <c r="A71" s="67" t="s">
        <v>165</v>
      </c>
      <c r="C71" s="383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4">
        <f>SUM(C$9:O$9)</f>
        <v>0.8500000000000002</v>
      </c>
      <c r="P71" s="18">
        <f t="shared" ref="P71:AF71" si="49">P$9</f>
        <v>0.05</v>
      </c>
      <c r="Q71" s="18">
        <f t="shared" si="49"/>
        <v>0</v>
      </c>
      <c r="R71" s="18">
        <f t="shared" si="49"/>
        <v>0</v>
      </c>
      <c r="S71" s="18">
        <f t="shared" si="49"/>
        <v>0</v>
      </c>
      <c r="T71" s="18">
        <f t="shared" si="49"/>
        <v>0</v>
      </c>
      <c r="U71" s="18">
        <f t="shared" si="49"/>
        <v>0</v>
      </c>
      <c r="V71" s="18">
        <f t="shared" si="49"/>
        <v>0</v>
      </c>
      <c r="W71" s="18">
        <f t="shared" si="49"/>
        <v>0</v>
      </c>
      <c r="X71" s="18">
        <f t="shared" si="49"/>
        <v>0</v>
      </c>
      <c r="Y71" s="18">
        <f t="shared" si="49"/>
        <v>0</v>
      </c>
      <c r="Z71" s="18">
        <f t="shared" si="49"/>
        <v>0</v>
      </c>
      <c r="AA71" s="18">
        <f t="shared" si="49"/>
        <v>0</v>
      </c>
      <c r="AB71" s="18">
        <f t="shared" si="49"/>
        <v>0</v>
      </c>
      <c r="AC71" s="18">
        <f t="shared" si="49"/>
        <v>0</v>
      </c>
      <c r="AD71" s="18">
        <f t="shared" si="49"/>
        <v>0</v>
      </c>
      <c r="AE71" s="18">
        <f t="shared" si="49"/>
        <v>0</v>
      </c>
      <c r="AF71" s="18">
        <f t="shared" si="49"/>
        <v>0</v>
      </c>
      <c r="AG71" s="18">
        <f t="shared" si="37"/>
        <v>0</v>
      </c>
      <c r="AH71" s="18">
        <f t="shared" si="37"/>
        <v>0</v>
      </c>
      <c r="AI71" s="18">
        <f t="shared" si="37"/>
        <v>0</v>
      </c>
      <c r="AJ71" s="18">
        <f t="shared" si="37"/>
        <v>0</v>
      </c>
      <c r="AK71" s="18">
        <f t="shared" si="37"/>
        <v>0</v>
      </c>
      <c r="AL71" s="18">
        <f t="shared" si="37"/>
        <v>0</v>
      </c>
      <c r="AM71" s="18">
        <f t="shared" si="37"/>
        <v>0</v>
      </c>
      <c r="AN71" s="18">
        <f t="shared" si="37"/>
        <v>0</v>
      </c>
      <c r="AO71" s="18">
        <f t="shared" si="37"/>
        <v>0</v>
      </c>
      <c r="AP71" s="18">
        <f t="shared" si="37"/>
        <v>0</v>
      </c>
      <c r="AQ71" s="18">
        <f t="shared" si="37"/>
        <v>0</v>
      </c>
      <c r="AR71" s="18">
        <f t="shared" si="37"/>
        <v>0</v>
      </c>
      <c r="AS71" s="18">
        <f t="shared" si="37"/>
        <v>0</v>
      </c>
      <c r="AT71" s="18">
        <f t="shared" si="37"/>
        <v>0</v>
      </c>
      <c r="AU71" s="18">
        <f t="shared" si="37"/>
        <v>0</v>
      </c>
      <c r="AV71" s="18">
        <f t="shared" si="37"/>
        <v>0</v>
      </c>
      <c r="AW71" s="18">
        <f t="shared" si="37"/>
        <v>0</v>
      </c>
      <c r="AX71" s="18">
        <f t="shared" si="37"/>
        <v>0</v>
      </c>
      <c r="AY71" s="18">
        <f t="shared" si="37"/>
        <v>0</v>
      </c>
      <c r="AZ71" s="386">
        <f t="shared" si="37"/>
        <v>0</v>
      </c>
    </row>
    <row r="72" spans="1:52" hidden="1" outlineLevel="1">
      <c r="A72" s="67" t="s">
        <v>166</v>
      </c>
      <c r="C72" s="383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4">
        <f>SUM(C$9:P$9)</f>
        <v>0.90000000000000024</v>
      </c>
      <c r="Q72" s="18">
        <f t="shared" ref="Q72:AF72" si="50">Q$9</f>
        <v>0</v>
      </c>
      <c r="R72" s="18">
        <f t="shared" si="50"/>
        <v>0</v>
      </c>
      <c r="S72" s="18">
        <f t="shared" si="50"/>
        <v>0</v>
      </c>
      <c r="T72" s="18">
        <f t="shared" si="50"/>
        <v>0</v>
      </c>
      <c r="U72" s="18">
        <f t="shared" si="50"/>
        <v>0</v>
      </c>
      <c r="V72" s="18">
        <f t="shared" si="50"/>
        <v>0</v>
      </c>
      <c r="W72" s="18">
        <f t="shared" si="50"/>
        <v>0</v>
      </c>
      <c r="X72" s="18">
        <f t="shared" si="50"/>
        <v>0</v>
      </c>
      <c r="Y72" s="18">
        <f t="shared" si="50"/>
        <v>0</v>
      </c>
      <c r="Z72" s="18">
        <f t="shared" si="50"/>
        <v>0</v>
      </c>
      <c r="AA72" s="18">
        <f t="shared" si="50"/>
        <v>0</v>
      </c>
      <c r="AB72" s="18">
        <f t="shared" si="50"/>
        <v>0</v>
      </c>
      <c r="AC72" s="18">
        <f t="shared" si="50"/>
        <v>0</v>
      </c>
      <c r="AD72" s="18">
        <f t="shared" si="50"/>
        <v>0</v>
      </c>
      <c r="AE72" s="18">
        <f t="shared" si="50"/>
        <v>0</v>
      </c>
      <c r="AF72" s="18">
        <f t="shared" si="50"/>
        <v>0</v>
      </c>
      <c r="AG72" s="18">
        <f t="shared" si="37"/>
        <v>0</v>
      </c>
      <c r="AH72" s="18">
        <f t="shared" si="37"/>
        <v>0</v>
      </c>
      <c r="AI72" s="18">
        <f t="shared" si="37"/>
        <v>0</v>
      </c>
      <c r="AJ72" s="18">
        <f t="shared" ref="AJ72:AS73" si="51">AJ$9</f>
        <v>0</v>
      </c>
      <c r="AK72" s="18">
        <f t="shared" si="51"/>
        <v>0</v>
      </c>
      <c r="AL72" s="18">
        <f t="shared" si="51"/>
        <v>0</v>
      </c>
      <c r="AM72" s="18">
        <f t="shared" si="51"/>
        <v>0</v>
      </c>
      <c r="AN72" s="18">
        <f t="shared" si="51"/>
        <v>0</v>
      </c>
      <c r="AO72" s="18">
        <f t="shared" si="51"/>
        <v>0</v>
      </c>
      <c r="AP72" s="18">
        <f t="shared" si="51"/>
        <v>0</v>
      </c>
      <c r="AQ72" s="18">
        <f t="shared" si="51"/>
        <v>0</v>
      </c>
      <c r="AR72" s="18">
        <f t="shared" si="51"/>
        <v>0</v>
      </c>
      <c r="AS72" s="18">
        <f t="shared" si="51"/>
        <v>0</v>
      </c>
      <c r="AT72" s="18">
        <f t="shared" ref="AT72:AZ73" si="52">AT$9</f>
        <v>0</v>
      </c>
      <c r="AU72" s="18">
        <f t="shared" si="52"/>
        <v>0</v>
      </c>
      <c r="AV72" s="18">
        <f t="shared" si="52"/>
        <v>0</v>
      </c>
      <c r="AW72" s="18">
        <f t="shared" si="52"/>
        <v>0</v>
      </c>
      <c r="AX72" s="18">
        <f t="shared" si="52"/>
        <v>0</v>
      </c>
      <c r="AY72" s="18">
        <f t="shared" si="52"/>
        <v>0</v>
      </c>
      <c r="AZ72" s="386">
        <f t="shared" si="52"/>
        <v>0</v>
      </c>
    </row>
    <row r="73" spans="1:52" hidden="1" outlineLevel="1">
      <c r="A73" s="67" t="s">
        <v>167</v>
      </c>
      <c r="C73" s="388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90">
        <f>SUM(C$9:Q$9)</f>
        <v>0.90000000000000024</v>
      </c>
      <c r="R73" s="392">
        <f t="shared" ref="R73:AI73" si="53">R$9</f>
        <v>0</v>
      </c>
      <c r="S73" s="392">
        <f t="shared" si="53"/>
        <v>0</v>
      </c>
      <c r="T73" s="392">
        <f t="shared" si="53"/>
        <v>0</v>
      </c>
      <c r="U73" s="392">
        <f t="shared" si="53"/>
        <v>0</v>
      </c>
      <c r="V73" s="392">
        <f t="shared" si="53"/>
        <v>0</v>
      </c>
      <c r="W73" s="392">
        <f t="shared" si="53"/>
        <v>0</v>
      </c>
      <c r="X73" s="392">
        <f t="shared" si="53"/>
        <v>0</v>
      </c>
      <c r="Y73" s="392">
        <f t="shared" si="53"/>
        <v>0</v>
      </c>
      <c r="Z73" s="392">
        <f t="shared" si="53"/>
        <v>0</v>
      </c>
      <c r="AA73" s="392">
        <f t="shared" si="53"/>
        <v>0</v>
      </c>
      <c r="AB73" s="392">
        <f t="shared" si="53"/>
        <v>0</v>
      </c>
      <c r="AC73" s="392">
        <f t="shared" si="53"/>
        <v>0</v>
      </c>
      <c r="AD73" s="392">
        <f t="shared" si="53"/>
        <v>0</v>
      </c>
      <c r="AE73" s="392">
        <f t="shared" si="53"/>
        <v>0</v>
      </c>
      <c r="AF73" s="392">
        <f t="shared" si="53"/>
        <v>0</v>
      </c>
      <c r="AG73" s="392">
        <f t="shared" si="53"/>
        <v>0</v>
      </c>
      <c r="AH73" s="392">
        <f t="shared" si="53"/>
        <v>0</v>
      </c>
      <c r="AI73" s="392">
        <f t="shared" si="53"/>
        <v>0</v>
      </c>
      <c r="AJ73" s="392">
        <f t="shared" si="51"/>
        <v>0</v>
      </c>
      <c r="AK73" s="392">
        <f t="shared" si="51"/>
        <v>0</v>
      </c>
      <c r="AL73" s="392">
        <f t="shared" si="51"/>
        <v>0</v>
      </c>
      <c r="AM73" s="392">
        <f t="shared" si="51"/>
        <v>0</v>
      </c>
      <c r="AN73" s="392">
        <f t="shared" si="51"/>
        <v>0</v>
      </c>
      <c r="AO73" s="392">
        <f t="shared" si="51"/>
        <v>0</v>
      </c>
      <c r="AP73" s="392">
        <f t="shared" si="51"/>
        <v>0</v>
      </c>
      <c r="AQ73" s="392">
        <f t="shared" si="51"/>
        <v>0</v>
      </c>
      <c r="AR73" s="392">
        <f t="shared" si="51"/>
        <v>0</v>
      </c>
      <c r="AS73" s="392">
        <f t="shared" si="51"/>
        <v>0</v>
      </c>
      <c r="AT73" s="392">
        <f t="shared" si="52"/>
        <v>0</v>
      </c>
      <c r="AU73" s="392">
        <f t="shared" si="52"/>
        <v>0</v>
      </c>
      <c r="AV73" s="392">
        <f t="shared" si="52"/>
        <v>0</v>
      </c>
      <c r="AW73" s="392">
        <f t="shared" si="52"/>
        <v>0</v>
      </c>
      <c r="AX73" s="392">
        <f t="shared" si="52"/>
        <v>0</v>
      </c>
      <c r="AY73" s="392">
        <f t="shared" si="52"/>
        <v>0</v>
      </c>
      <c r="AZ73" s="393">
        <f t="shared" si="52"/>
        <v>0</v>
      </c>
    </row>
    <row r="74" spans="1:52" s="500" customFormat="1" hidden="1" outlineLevel="1">
      <c r="B74" s="22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501"/>
      <c r="V74" s="394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430"/>
      <c r="AH74" s="430"/>
      <c r="AI74" s="430"/>
      <c r="AJ74" s="430"/>
      <c r="AK74" s="430"/>
      <c r="AL74" s="430"/>
      <c r="AM74" s="430"/>
      <c r="AN74" s="430"/>
      <c r="AO74" s="430"/>
      <c r="AP74" s="430"/>
      <c r="AQ74" s="430"/>
      <c r="AR74" s="430"/>
      <c r="AS74" s="430"/>
      <c r="AT74" s="430"/>
      <c r="AU74" s="430"/>
      <c r="AV74" s="430"/>
      <c r="AW74" s="430"/>
      <c r="AX74" s="430"/>
      <c r="AY74" s="430"/>
      <c r="AZ74" s="430"/>
    </row>
    <row r="75" spans="1:52" s="500" customFormat="1" ht="17.25" hidden="1" customHeight="1" outlineLevel="1">
      <c r="A75" s="578" t="s">
        <v>175</v>
      </c>
      <c r="B75" s="22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501"/>
      <c r="V75" s="394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430"/>
      <c r="AH75" s="430"/>
      <c r="AI75" s="430"/>
      <c r="AJ75" s="430"/>
      <c r="AK75" s="430"/>
      <c r="AL75" s="430"/>
      <c r="AM75" s="430"/>
      <c r="AN75" s="430"/>
      <c r="AO75" s="430"/>
      <c r="AP75" s="430"/>
      <c r="AQ75" s="430"/>
      <c r="AR75" s="430"/>
      <c r="AS75" s="430"/>
      <c r="AT75" s="430"/>
      <c r="AU75" s="430"/>
      <c r="AV75" s="430"/>
      <c r="AW75" s="430"/>
      <c r="AX75" s="430"/>
      <c r="AY75" s="430"/>
      <c r="AZ75" s="430"/>
    </row>
    <row r="76" spans="1:52" hidden="1" outlineLevel="1">
      <c r="A76" s="67" t="s">
        <v>151</v>
      </c>
      <c r="C76" s="543">
        <f>IF(MOD(C4,'Tableau de bord'!$B$61)=0,(('Tableau de bord'!$C$63)*$C$7)*SUM($C$47:C47),0)</f>
        <v>0</v>
      </c>
      <c r="D76" s="544">
        <f>IF(MOD(D4,'Tableau de bord'!$B$61)=0,(('Tableau de bord'!$C$63)*$C$7)*SUM($C$47:D47),0)</f>
        <v>0</v>
      </c>
      <c r="E76" s="544">
        <f>IF(MOD(E4,'Tableau de bord'!$B$61)=0,(('Tableau de bord'!$C$63)*$C$7)*SUM($C$47:E47),0)</f>
        <v>0</v>
      </c>
      <c r="F76" s="544">
        <f>IF(MOD(F4,'Tableau de bord'!$B$61)=0,(('Tableau de bord'!$C$63)*$C$7)*SUM($C$47:F47),0)</f>
        <v>0</v>
      </c>
      <c r="G76" s="544">
        <f>IF(MOD(G4,'Tableau de bord'!$B$61)=0,(('Tableau de bord'!$C$63)*$C$7)*SUM($C$47:G47),0)</f>
        <v>0</v>
      </c>
      <c r="H76" s="544">
        <f>IF(MOD(H4,'Tableau de bord'!$B$61)=0,(('Tableau de bord'!$C$63)*$C$7)*SUM($C$47:H47),0)</f>
        <v>0</v>
      </c>
      <c r="I76" s="544">
        <f>IF(MOD(I4,'Tableau de bord'!$B$61)=0,(('Tableau de bord'!$C$63)*$C$7)*SUM($C$47:I47),0)</f>
        <v>0</v>
      </c>
      <c r="J76" s="544">
        <f>IF(MOD(J4,'Tableau de bord'!$B$61)=0,(('Tableau de bord'!$C$63)*$C$7)*SUM($C$47:J47),0)</f>
        <v>0</v>
      </c>
      <c r="K76" s="544">
        <f>IF(MOD(K4,'Tableau de bord'!$B$61)=0,(('Tableau de bord'!$C$63)*$C$7)*SUM($C$47:K47),0)</f>
        <v>0</v>
      </c>
      <c r="L76" s="544">
        <f>IF(MOD(L4,'Tableau de bord'!$B$61)=0,(('Tableau de bord'!$C$63)*$C$7)*SUM($C$47:L47),0)</f>
        <v>0</v>
      </c>
      <c r="M76" s="544">
        <f>IF(MOD(M4,'Tableau de bord'!$B$61)=0,(('Tableau de bord'!$C$63)*$C$7)*SUM($C$47:M47),0)</f>
        <v>0</v>
      </c>
      <c r="N76" s="544">
        <f>IF(MOD(N4,'Tableau de bord'!$B$61)=0,(('Tableau de bord'!$C$63)*$C$7)*SUM($C$47:N47),0)</f>
        <v>0</v>
      </c>
      <c r="O76" s="544">
        <f>IF(MOD(O4,'Tableau de bord'!$B$61)=0,(('Tableau de bord'!$C$63)*$C$7)*SUM($C$47:O47),0)</f>
        <v>0</v>
      </c>
      <c r="P76" s="544">
        <f>IF(MOD(P4,'Tableau de bord'!$B$61)=0,(('Tableau de bord'!$C$63)*$C$7)*SUM($C$47:P47),0)</f>
        <v>0</v>
      </c>
      <c r="Q76" s="544">
        <f>IF(MOD(Q4,'Tableau de bord'!$B$61)=0,(('Tableau de bord'!$C$63)*$C$7)*SUM($C$47:Q47),0)</f>
        <v>0</v>
      </c>
      <c r="R76" s="544">
        <f>IF(MOD(R4,'Tableau de bord'!$B$61)=0,(('Tableau de bord'!$C$63)*$C$7)*SUM($C$47:R47),0)</f>
        <v>0</v>
      </c>
      <c r="S76" s="544">
        <f>IF(MOD(S4,'Tableau de bord'!$B$61)=0,(('Tableau de bord'!$C$63)*$C$7)*SUM($C$47:S47),0)</f>
        <v>0</v>
      </c>
      <c r="T76" s="544">
        <f>IF(MOD(T4,'Tableau de bord'!$B$61)=0,(('Tableau de bord'!$C$63)*$C$7)*SUM($C$47:T47),0)</f>
        <v>0</v>
      </c>
      <c r="U76" s="544">
        <f>IF(MOD(U4,'Tableau de bord'!$B$61)=0,(('Tableau de bord'!$C$63)*$C$7)*SUM($C$47:U47),0)</f>
        <v>0</v>
      </c>
      <c r="V76" s="544">
        <f>IF(MOD(V4,'Tableau de bord'!$B$61)=0,(('Tableau de bord'!$C$63)*$C$7)*SUM($C$47:V47),0)</f>
        <v>7200.0000000000018</v>
      </c>
      <c r="W76" s="544">
        <f>IF(MOD(W4,'Tableau de bord'!$B$61)=0,(('Tableau de bord'!$C$63)*$C$7)*SUM($C$47:W47),0)</f>
        <v>0</v>
      </c>
      <c r="X76" s="544">
        <f>IF(MOD(X4,'Tableau de bord'!$B$61)=0,(('Tableau de bord'!$C$63)*$C$7)*SUM($C$47:X47),0)</f>
        <v>0</v>
      </c>
      <c r="Y76" s="544">
        <f>IF(MOD(Y4,'Tableau de bord'!$B$61)=0,(('Tableau de bord'!$C$63)*$C$7)*SUM($C$47:Y47),0)</f>
        <v>0</v>
      </c>
      <c r="Z76" s="544">
        <f>IF(MOD(Z4,'Tableau de bord'!$B$61)=0,(('Tableau de bord'!$C$63)*$C$7)*SUM($C$47:Z47),0)</f>
        <v>0</v>
      </c>
      <c r="AA76" s="544">
        <f>IF(MOD(AA4,'Tableau de bord'!$B$61)=0,(('Tableau de bord'!$C$63)*$C$7)*SUM($C$47:AA47),0)</f>
        <v>0</v>
      </c>
      <c r="AB76" s="544">
        <f>IF(MOD(AB4,'Tableau de bord'!$B$61)=0,(('Tableau de bord'!$C$63)*$C$7)*SUM($C$47:AB47),0)</f>
        <v>0</v>
      </c>
      <c r="AC76" s="544">
        <f>IF(MOD(AC4,'Tableau de bord'!$B$61)=0,(('Tableau de bord'!$C$63)*$C$7)*SUM($C$47:AC47),0)</f>
        <v>0</v>
      </c>
      <c r="AD76" s="544">
        <f>IF(MOD(AD4,'Tableau de bord'!$B$61)=0,(('Tableau de bord'!$C$63)*$C$7)*SUM($C$47:AD47),0)</f>
        <v>0</v>
      </c>
      <c r="AE76" s="544">
        <f>IF(MOD(AE4,'Tableau de bord'!$B$61)=0,(('Tableau de bord'!$C$63)*$C$7)*SUM($C$47:AE47),0)</f>
        <v>0</v>
      </c>
      <c r="AF76" s="544">
        <f>IF(MOD(AF4,'Tableau de bord'!$B$61)=0,(('Tableau de bord'!$C$63)*$C$7)*SUM($C$47:AF47),0)</f>
        <v>0</v>
      </c>
      <c r="AG76" s="544">
        <f>IF(MOD(AG4,'Tableau de bord'!$B$61)=0,(('Tableau de bord'!$C$63)*$C$7)*SUM($C$47:AG47),0)</f>
        <v>0</v>
      </c>
      <c r="AH76" s="544">
        <f>IF(MOD(AH4,'Tableau de bord'!$B$61)=0,(('Tableau de bord'!$C$63)*$C$7)*SUM($C$47:AH47),0)</f>
        <v>0</v>
      </c>
      <c r="AI76" s="544">
        <f>IF(MOD(AI4,'Tableau de bord'!$B$61)=0,(('Tableau de bord'!$C$63)*$C$7)*SUM($C$47:AI47),0)</f>
        <v>0</v>
      </c>
      <c r="AJ76" s="544">
        <f>IF(MOD(AJ4,'Tableau de bord'!$B$61)=0,(('Tableau de bord'!$C$63)*$C$7)*SUM($C$47:AJ47),0)</f>
        <v>0</v>
      </c>
      <c r="AK76" s="544">
        <f>IF(MOD(AK4,'Tableau de bord'!$B$61)=0,(('Tableau de bord'!$C$63)*$C$7)*SUM($C$47:AK47),0)</f>
        <v>0</v>
      </c>
      <c r="AL76" s="544">
        <f>IF(MOD(AL4,'Tableau de bord'!$B$61)=0,(('Tableau de bord'!$C$63)*$C$7)*SUM($C$47:AL47),0)</f>
        <v>0</v>
      </c>
      <c r="AM76" s="544">
        <f>IF(MOD(AM4,'Tableau de bord'!$B$61)=0,(('Tableau de bord'!$C$63)*$C$7)*SUM($C$47:AM47),0)</f>
        <v>0</v>
      </c>
      <c r="AN76" s="544">
        <f>IF(MOD(AN4,'Tableau de bord'!$B$61)=0,(('Tableau de bord'!$C$63)*$C$7)*SUM($C$47:AN47),0)</f>
        <v>0</v>
      </c>
      <c r="AO76" s="544">
        <f>IF(MOD(AO4,'Tableau de bord'!$B$61)=0,(('Tableau de bord'!$C$63)*$C$7)*SUM($C$47:AO47),0)</f>
        <v>0</v>
      </c>
      <c r="AP76" s="544">
        <f>IF(MOD(AP4,'Tableau de bord'!$B$61)=0,(('Tableau de bord'!$C$63)*$C$7)*SUM($C$47:AP47),0)</f>
        <v>7200.0000000000018</v>
      </c>
      <c r="AQ76" s="544">
        <f>IF(MOD(AQ4,'Tableau de bord'!$B$61)=0,(('Tableau de bord'!$C$63)*$C$7)*SUM($C$47:AQ47),0)</f>
        <v>0</v>
      </c>
      <c r="AR76" s="544">
        <f>IF(MOD(AR4,'Tableau de bord'!$B$61)=0,(('Tableau de bord'!$C$63)*$C$7)*SUM($C$47:AR47),0)</f>
        <v>0</v>
      </c>
      <c r="AS76" s="544">
        <f>IF(MOD(AS4,'Tableau de bord'!$B$61)=0,(('Tableau de bord'!$C$63)*$C$7)*SUM($C$47:AS47),0)</f>
        <v>0</v>
      </c>
      <c r="AT76" s="544">
        <f>IF(MOD(AT4,'Tableau de bord'!$B$61)=0,(('Tableau de bord'!$C$63)*$C$7)*SUM($C$47:AT47),0)</f>
        <v>0</v>
      </c>
      <c r="AU76" s="544">
        <f>IF(MOD(AU4,'Tableau de bord'!$B$61)=0,(('Tableau de bord'!$C$63)*$C$7)*SUM($C$47:AU47),0)</f>
        <v>0</v>
      </c>
      <c r="AV76" s="544">
        <f>IF(MOD(AV4,'Tableau de bord'!$B$61)=0,(('Tableau de bord'!$C$63)*$C$7)*SUM($C$47:AV47),0)</f>
        <v>0</v>
      </c>
      <c r="AW76" s="544">
        <f>IF(MOD(AW4,'Tableau de bord'!$B$61)=0,(('Tableau de bord'!$C$63)*$C$7)*SUM($C$47:AW47),0)</f>
        <v>0</v>
      </c>
      <c r="AX76" s="544">
        <f>IF(MOD(AX4,'Tableau de bord'!$B$61)=0,(('Tableau de bord'!$C$63)*$C$7)*SUM($C$47:AX47),0)</f>
        <v>0</v>
      </c>
      <c r="AY76" s="544">
        <f>IF(MOD(AY4,'Tableau de bord'!$B$61)=0,(('Tableau de bord'!$C$63)*$C$7)*SUM($C$47:AY47),0)</f>
        <v>0</v>
      </c>
      <c r="AZ76" s="545">
        <f>IF(MOD(AZ4,'Tableau de bord'!$B$61)=0,(('Tableau de bord'!$C$63)*$C$7)*SUM($C$47:AZ47),0)</f>
        <v>0</v>
      </c>
    </row>
    <row r="77" spans="1:52" hidden="1" outlineLevel="1">
      <c r="A77" s="67" t="s">
        <v>152</v>
      </c>
      <c r="C77" s="549"/>
      <c r="D77" s="480">
        <f>IF(MOD(C4,'Tableau de bord'!$B$61)=0,(('Tableau de bord'!$C$63)*$D$7)*SUM($D$48:D48),0)</f>
        <v>0</v>
      </c>
      <c r="E77" s="480">
        <f>IF(MOD(D4,'Tableau de bord'!$B$61)=0,(('Tableau de bord'!$C$63)*$D$7)*SUM($D$48:E48),0)</f>
        <v>0</v>
      </c>
      <c r="F77" s="480">
        <f>IF(MOD(E4,'Tableau de bord'!$B$61)=0,(('Tableau de bord'!$C$63)*$D$7)*SUM($D$48:F48),0)</f>
        <v>0</v>
      </c>
      <c r="G77" s="480">
        <f>IF(MOD(F4,'Tableau de bord'!$B$61)=0,(('Tableau de bord'!$C$63)*$D$7)*SUM($D$48:G48),0)</f>
        <v>0</v>
      </c>
      <c r="H77" s="480">
        <f>IF(MOD(G4,'Tableau de bord'!$B$61)=0,(('Tableau de bord'!$C$63)*$D$7)*SUM($D$48:H48),0)</f>
        <v>0</v>
      </c>
      <c r="I77" s="480">
        <f>IF(MOD(H4,'Tableau de bord'!$B$61)=0,(('Tableau de bord'!$C$63)*$D$7)*SUM($D$48:I48),0)</f>
        <v>0</v>
      </c>
      <c r="J77" s="480">
        <f>IF(MOD(I4,'Tableau de bord'!$B$61)=0,(('Tableau de bord'!$C$63)*$D$7)*SUM($D$48:J48),0)</f>
        <v>0</v>
      </c>
      <c r="K77" s="480">
        <f>IF(MOD(J4,'Tableau de bord'!$B$61)=0,(('Tableau de bord'!$C$63)*$D$7)*SUM($D$48:K48),0)</f>
        <v>0</v>
      </c>
      <c r="L77" s="480">
        <f>IF(MOD(K4,'Tableau de bord'!$B$61)=0,(('Tableau de bord'!$C$63)*$D$7)*SUM($D$48:L48),0)</f>
        <v>0</v>
      </c>
      <c r="M77" s="480">
        <f>IF(MOD(L4,'Tableau de bord'!$B$61)=0,(('Tableau de bord'!$C$63)*$D$7)*SUM($D$48:M48),0)</f>
        <v>0</v>
      </c>
      <c r="N77" s="480">
        <f>IF(MOD(M4,'Tableau de bord'!$B$61)=0,(('Tableau de bord'!$C$63)*$D$7)*SUM($D$48:N48),0)</f>
        <v>0</v>
      </c>
      <c r="O77" s="480">
        <f>IF(MOD(N4,'Tableau de bord'!$B$61)=0,(('Tableau de bord'!$C$63)*$D$7)*SUM($D$48:O48),0)</f>
        <v>0</v>
      </c>
      <c r="P77" s="480">
        <f>IF(MOD(O4,'Tableau de bord'!$B$61)=0,(('Tableau de bord'!$C$63)*$D$7)*SUM($D$48:P48),0)</f>
        <v>0</v>
      </c>
      <c r="Q77" s="480">
        <f>IF(MOD(P4,'Tableau de bord'!$B$61)=0,(('Tableau de bord'!$C$63)*$D$7)*SUM($D$48:Q48),0)</f>
        <v>0</v>
      </c>
      <c r="R77" s="480">
        <f>IF(MOD(Q4,'Tableau de bord'!$B$61)=0,(('Tableau de bord'!$C$63)*$D$7)*SUM($D$48:R48),0)</f>
        <v>0</v>
      </c>
      <c r="S77" s="480">
        <f>IF(MOD(R4,'Tableau de bord'!$B$61)=0,(('Tableau de bord'!$C$63)*$D$7)*SUM($D$48:S48),0)</f>
        <v>0</v>
      </c>
      <c r="T77" s="480">
        <f>IF(MOD(S4,'Tableau de bord'!$B$61)=0,(('Tableau de bord'!$C$63)*$D$7)*SUM($D$48:T48),0)</f>
        <v>0</v>
      </c>
      <c r="U77" s="480">
        <f>IF(MOD(T4,'Tableau de bord'!$B$61)=0,(('Tableau de bord'!$C$63)*$D$7)*SUM($D$48:U48),0)</f>
        <v>0</v>
      </c>
      <c r="V77" s="480">
        <f>IF(MOD(U4,'Tableau de bord'!$B$61)=0,(('Tableau de bord'!$C$63)*$D$7)*SUM($D$48:V48),0)</f>
        <v>0</v>
      </c>
      <c r="W77" s="480">
        <f>IF(MOD(V4,'Tableau de bord'!$B$61)=0,(('Tableau de bord'!$C$63)*$D$7)*SUM($D$48:W48),0)</f>
        <v>11700.000000000004</v>
      </c>
      <c r="X77" s="480">
        <f>IF(MOD(W4,'Tableau de bord'!$B$61)=0,(('Tableau de bord'!$C$63)*$D$7)*SUM($D$48:X48),0)</f>
        <v>0</v>
      </c>
      <c r="Y77" s="480">
        <f>IF(MOD(X4,'Tableau de bord'!$B$61)=0,(('Tableau de bord'!$C$63)*$D$7)*SUM($D$48:Y48),0)</f>
        <v>0</v>
      </c>
      <c r="Z77" s="480">
        <f>IF(MOD(Y4,'Tableau de bord'!$B$61)=0,(('Tableau de bord'!$C$63)*$D$7)*SUM($D$48:Z48),0)</f>
        <v>0</v>
      </c>
      <c r="AA77" s="480">
        <f>IF(MOD(Z4,'Tableau de bord'!$B$61)=0,(('Tableau de bord'!$C$63)*$D$7)*SUM($D$48:AA48),0)</f>
        <v>0</v>
      </c>
      <c r="AB77" s="480">
        <f>IF(MOD(AA4,'Tableau de bord'!$B$61)=0,(('Tableau de bord'!$C$63)*$D$7)*SUM($D$48:AB48),0)</f>
        <v>0</v>
      </c>
      <c r="AC77" s="480">
        <f>IF(MOD(AB4,'Tableau de bord'!$B$61)=0,(('Tableau de bord'!$C$63)*$D$7)*SUM($D$48:AC48),0)</f>
        <v>0</v>
      </c>
      <c r="AD77" s="480">
        <f>IF(MOD(AC4,'Tableau de bord'!$B$61)=0,(('Tableau de bord'!$C$63)*$D$7)*SUM($D$48:AD48),0)</f>
        <v>0</v>
      </c>
      <c r="AE77" s="480">
        <f>IF(MOD(AD4,'Tableau de bord'!$B$61)=0,(('Tableau de bord'!$C$63)*$D$7)*SUM($D$48:AE48),0)</f>
        <v>0</v>
      </c>
      <c r="AF77" s="480">
        <f>IF(MOD(AE4,'Tableau de bord'!$B$61)=0,(('Tableau de bord'!$C$63)*$D$7)*SUM($D$48:AF48),0)</f>
        <v>0</v>
      </c>
      <c r="AG77" s="480">
        <f>IF(MOD(AF4,'Tableau de bord'!$B$61)=0,(('Tableau de bord'!$C$63)*$D$7)*SUM($D$48:AG48),0)</f>
        <v>0</v>
      </c>
      <c r="AH77" s="480">
        <f>IF(MOD(AG4,'Tableau de bord'!$B$61)=0,(('Tableau de bord'!$C$63)*$D$7)*SUM($D$48:AH48),0)</f>
        <v>0</v>
      </c>
      <c r="AI77" s="480">
        <f>IF(MOD(AH4,'Tableau de bord'!$B$61)=0,(('Tableau de bord'!$C$63)*$D$7)*SUM($D$48:AI48),0)</f>
        <v>0</v>
      </c>
      <c r="AJ77" s="480">
        <f>IF(MOD(AI4,'Tableau de bord'!$B$61)=0,(('Tableau de bord'!$C$63)*$D$7)*SUM($D$48:AJ48),0)</f>
        <v>0</v>
      </c>
      <c r="AK77" s="480">
        <f>IF(MOD(AJ4,'Tableau de bord'!$B$61)=0,(('Tableau de bord'!$C$63)*$D$7)*SUM($D$48:AK48),0)</f>
        <v>0</v>
      </c>
      <c r="AL77" s="480">
        <f>IF(MOD(AK4,'Tableau de bord'!$B$61)=0,(('Tableau de bord'!$C$63)*$D$7)*SUM($D$48:AL48),0)</f>
        <v>0</v>
      </c>
      <c r="AM77" s="480">
        <f>IF(MOD(AL4,'Tableau de bord'!$B$61)=0,(('Tableau de bord'!$C$63)*$D$7)*SUM($D$48:AM48),0)</f>
        <v>0</v>
      </c>
      <c r="AN77" s="480">
        <f>IF(MOD(AM4,'Tableau de bord'!$B$61)=0,(('Tableau de bord'!$C$63)*$D$7)*SUM($D$48:AN48),0)</f>
        <v>0</v>
      </c>
      <c r="AO77" s="480">
        <f>IF(MOD(AN4,'Tableau de bord'!$B$61)=0,(('Tableau de bord'!$C$63)*$D$7)*SUM($D$48:AO48),0)</f>
        <v>0</v>
      </c>
      <c r="AP77" s="480">
        <f>IF(MOD(AO4,'Tableau de bord'!$B$61)=0,(('Tableau de bord'!$C$63)*$D$7)*SUM($D$48:AP48),0)</f>
        <v>0</v>
      </c>
      <c r="AQ77" s="480">
        <f>IF(MOD(AP4,'Tableau de bord'!$B$61)=0,(('Tableau de bord'!$C$63)*$D$7)*SUM($D$48:AQ48),0)</f>
        <v>11700.000000000004</v>
      </c>
      <c r="AR77" s="480">
        <f>IF(MOD(AQ4,'Tableau de bord'!$B$61)=0,(('Tableau de bord'!$C$63)*$D$7)*SUM($D$48:AR48),0)</f>
        <v>0</v>
      </c>
      <c r="AS77" s="480">
        <f>IF(MOD(AR4,'Tableau de bord'!$B$61)=0,(('Tableau de bord'!$C$63)*$D$7)*SUM($D$48:AS48),0)</f>
        <v>0</v>
      </c>
      <c r="AT77" s="480">
        <f>IF(MOD(AS4,'Tableau de bord'!$B$61)=0,(('Tableau de bord'!$C$63)*$D$7)*SUM($D$48:AT48),0)</f>
        <v>0</v>
      </c>
      <c r="AU77" s="480">
        <f>IF(MOD(AT4,'Tableau de bord'!$B$61)=0,(('Tableau de bord'!$C$63)*$D$7)*SUM($D$48:AU48),0)</f>
        <v>0</v>
      </c>
      <c r="AV77" s="480">
        <f>IF(MOD(AU4,'Tableau de bord'!$B$61)=0,(('Tableau de bord'!$C$63)*$D$7)*SUM($D$48:AV48),0)</f>
        <v>0</v>
      </c>
      <c r="AW77" s="480">
        <f>IF(MOD(AV4,'Tableau de bord'!$B$61)=0,(('Tableau de bord'!$C$63)*$D$7)*SUM($D$48:AW48),0)</f>
        <v>0</v>
      </c>
      <c r="AX77" s="480">
        <f>IF(MOD(AW4,'Tableau de bord'!$B$61)=0,(('Tableau de bord'!$C$63)*$D$7)*SUM($D$48:AX48),0)</f>
        <v>0</v>
      </c>
      <c r="AY77" s="480">
        <f>IF(MOD(AX4,'Tableau de bord'!$B$61)=0,(('Tableau de bord'!$C$63)*$D$7)*SUM($D$48:AY48),0)</f>
        <v>0</v>
      </c>
      <c r="AZ77" s="546">
        <f>IF(MOD(AY4,'Tableau de bord'!$B$61)=0,(('Tableau de bord'!$C$63)*$D$7)*SUM($D$48:AZ48),0)</f>
        <v>0</v>
      </c>
    </row>
    <row r="78" spans="1:52" hidden="1" outlineLevel="1">
      <c r="A78" s="67" t="s">
        <v>153</v>
      </c>
      <c r="C78" s="549"/>
      <c r="D78" s="550"/>
      <c r="E78" s="480">
        <f>IF(MOD(C4,'Tableau de bord'!$B$61)=0,(('Tableau de bord'!$C$63)*$E$7)*SUM($E$49:E49),0)</f>
        <v>0</v>
      </c>
      <c r="F78" s="480">
        <f>IF(MOD(D4,'Tableau de bord'!$B$61)=0,(('Tableau de bord'!$C$63)*$E$7)*SUM($E$49:F49),0)</f>
        <v>0</v>
      </c>
      <c r="G78" s="480">
        <f>IF(MOD(E4,'Tableau de bord'!$B$61)=0,(('Tableau de bord'!$C$63)*$E$7)*SUM($E$49:G49),0)</f>
        <v>0</v>
      </c>
      <c r="H78" s="480">
        <f>IF(MOD(F4,'Tableau de bord'!$B$61)=0,(('Tableau de bord'!$C$63)*$E$7)*SUM($E$49:H49),0)</f>
        <v>0</v>
      </c>
      <c r="I78" s="480">
        <f>IF(MOD(G4,'Tableau de bord'!$B$61)=0,(('Tableau de bord'!$C$63)*$E$7)*SUM($E$49:I49),0)</f>
        <v>0</v>
      </c>
      <c r="J78" s="480">
        <f>IF(MOD(H4,'Tableau de bord'!$B$61)=0,(('Tableau de bord'!$C$63)*$E$7)*SUM($E$49:J49),0)</f>
        <v>0</v>
      </c>
      <c r="K78" s="480">
        <f>IF(MOD(I4,'Tableau de bord'!$B$61)=0,(('Tableau de bord'!$C$63)*$E$7)*SUM($E$49:K49),0)</f>
        <v>0</v>
      </c>
      <c r="L78" s="480">
        <f>IF(MOD(J4,'Tableau de bord'!$B$61)=0,(('Tableau de bord'!$C$63)*$E$7)*SUM($E$49:L49),0)</f>
        <v>0</v>
      </c>
      <c r="M78" s="480">
        <f>IF(MOD(K4,'Tableau de bord'!$B$61)=0,(('Tableau de bord'!$C$63)*$E$7)*SUM($E$49:M49),0)</f>
        <v>0</v>
      </c>
      <c r="N78" s="480">
        <f>IF(MOD(L4,'Tableau de bord'!$B$61)=0,(('Tableau de bord'!$C$63)*$E$7)*SUM($E$49:N49),0)</f>
        <v>0</v>
      </c>
      <c r="O78" s="480">
        <f>IF(MOD(M4,'Tableau de bord'!$B$61)=0,(('Tableau de bord'!$C$63)*$E$7)*SUM($E$49:O49),0)</f>
        <v>0</v>
      </c>
      <c r="P78" s="480">
        <f>IF(MOD(N4,'Tableau de bord'!$B$61)=0,(('Tableau de bord'!$C$63)*$E$7)*SUM($E$49:P49),0)</f>
        <v>0</v>
      </c>
      <c r="Q78" s="480">
        <f>IF(MOD(O4,'Tableau de bord'!$B$61)=0,(('Tableau de bord'!$C$63)*$E$7)*SUM($E$49:Q49),0)</f>
        <v>0</v>
      </c>
      <c r="R78" s="480">
        <f>IF(MOD(P4,'Tableau de bord'!$B$61)=0,(('Tableau de bord'!$C$63)*$E$7)*SUM($E$49:R49),0)</f>
        <v>0</v>
      </c>
      <c r="S78" s="480">
        <f>IF(MOD(Q4,'Tableau de bord'!$B$61)=0,(('Tableau de bord'!$C$63)*$E$7)*SUM($E$49:S49),0)</f>
        <v>0</v>
      </c>
      <c r="T78" s="480">
        <f>IF(MOD(R4,'Tableau de bord'!$B$61)=0,(('Tableau de bord'!$C$63)*$E$7)*SUM($E$49:T49),0)</f>
        <v>0</v>
      </c>
      <c r="U78" s="480">
        <f>IF(MOD(S4,'Tableau de bord'!$B$61)=0,(('Tableau de bord'!$C$63)*$E$7)*SUM($E$49:U49),0)</f>
        <v>0</v>
      </c>
      <c r="V78" s="480">
        <f>IF(MOD(T4,'Tableau de bord'!$B$61)=0,(('Tableau de bord'!$C$63)*$E$7)*SUM($E$49:V49),0)</f>
        <v>0</v>
      </c>
      <c r="W78" s="480">
        <f>IF(MOD(U4,'Tableau de bord'!$B$61)=0,(('Tableau de bord'!$C$63)*$E$7)*SUM($E$49:W49),0)</f>
        <v>0</v>
      </c>
      <c r="X78" s="480">
        <f>IF(MOD(V4,'Tableau de bord'!$B$61)=0,(('Tableau de bord'!$C$63)*$E$7)*SUM($E$49:X49),0)</f>
        <v>13500.000000000004</v>
      </c>
      <c r="Y78" s="480">
        <f>IF(MOD(W4,'Tableau de bord'!$B$61)=0,(('Tableau de bord'!$C$63)*$E$7)*SUM($E$49:Y49),0)</f>
        <v>0</v>
      </c>
      <c r="Z78" s="480">
        <f>IF(MOD(X4,'Tableau de bord'!$B$61)=0,(('Tableau de bord'!$C$63)*$E$7)*SUM($E$49:Z49),0)</f>
        <v>0</v>
      </c>
      <c r="AA78" s="480">
        <f>IF(MOD(Y4,'Tableau de bord'!$B$61)=0,(('Tableau de bord'!$C$63)*$E$7)*SUM($E$49:AA49),0)</f>
        <v>0</v>
      </c>
      <c r="AB78" s="480">
        <f>IF(MOD(Z4,'Tableau de bord'!$B$61)=0,(('Tableau de bord'!$C$63)*$E$7)*SUM($E$49:AB49),0)</f>
        <v>0</v>
      </c>
      <c r="AC78" s="480">
        <f>IF(MOD(AA4,'Tableau de bord'!$B$61)=0,(('Tableau de bord'!$C$63)*$E$7)*SUM($E$49:AC49),0)</f>
        <v>0</v>
      </c>
      <c r="AD78" s="480">
        <f>IF(MOD(AB4,'Tableau de bord'!$B$61)=0,(('Tableau de bord'!$C$63)*$E$7)*SUM($E$49:AD49),0)</f>
        <v>0</v>
      </c>
      <c r="AE78" s="480">
        <f>IF(MOD(AC4,'Tableau de bord'!$B$61)=0,(('Tableau de bord'!$C$63)*$E$7)*SUM($E$49:AE49),0)</f>
        <v>0</v>
      </c>
      <c r="AF78" s="480">
        <f>IF(MOD(AD4,'Tableau de bord'!$B$61)=0,(('Tableau de bord'!$C$63)*$E$7)*SUM($E$49:AF49),0)</f>
        <v>0</v>
      </c>
      <c r="AG78" s="480">
        <f>IF(MOD(AE4,'Tableau de bord'!$B$61)=0,(('Tableau de bord'!$C$63)*$E$7)*SUM($E$49:AG49),0)</f>
        <v>0</v>
      </c>
      <c r="AH78" s="480">
        <f>IF(MOD(AF4,'Tableau de bord'!$B$61)=0,(('Tableau de bord'!$C$63)*$E$7)*SUM($E$49:AH49),0)</f>
        <v>0</v>
      </c>
      <c r="AI78" s="480">
        <f>IF(MOD(AG4,'Tableau de bord'!$B$61)=0,(('Tableau de bord'!$C$63)*$E$7)*SUM($E$49:AI49),0)</f>
        <v>0</v>
      </c>
      <c r="AJ78" s="480">
        <f>IF(MOD(AH4,'Tableau de bord'!$B$61)=0,(('Tableau de bord'!$C$63)*$E$7)*SUM($E$49:AJ49),0)</f>
        <v>0</v>
      </c>
      <c r="AK78" s="480">
        <f>IF(MOD(AI4,'Tableau de bord'!$B$61)=0,(('Tableau de bord'!$C$63)*$E$7)*SUM($E$49:AK49),0)</f>
        <v>0</v>
      </c>
      <c r="AL78" s="480">
        <f>IF(MOD(AJ4,'Tableau de bord'!$B$61)=0,(('Tableau de bord'!$C$63)*$E$7)*SUM($E$49:AL49),0)</f>
        <v>0</v>
      </c>
      <c r="AM78" s="480">
        <f>IF(MOD(AK4,'Tableau de bord'!$B$61)=0,(('Tableau de bord'!$C$63)*$E$7)*SUM($E$49:AM49),0)</f>
        <v>0</v>
      </c>
      <c r="AN78" s="480">
        <f>IF(MOD(AL4,'Tableau de bord'!$B$61)=0,(('Tableau de bord'!$C$63)*$E$7)*SUM($E$49:AN49),0)</f>
        <v>0</v>
      </c>
      <c r="AO78" s="480">
        <f>IF(MOD(AM4,'Tableau de bord'!$B$61)=0,(('Tableau de bord'!$C$63)*$E$7)*SUM($E$49:AO49),0)</f>
        <v>0</v>
      </c>
      <c r="AP78" s="480">
        <f>IF(MOD(AN4,'Tableau de bord'!$B$61)=0,(('Tableau de bord'!$C$63)*$E$7)*SUM($E$49:AP49),0)</f>
        <v>0</v>
      </c>
      <c r="AQ78" s="480">
        <f>IF(MOD(AO4,'Tableau de bord'!$B$61)=0,(('Tableau de bord'!$C$63)*$E$7)*SUM($E$49:AQ49),0)</f>
        <v>0</v>
      </c>
      <c r="AR78" s="480">
        <f>IF(MOD(AP4,'Tableau de bord'!$B$61)=0,(('Tableau de bord'!$C$63)*$E$7)*SUM($E$49:AR49),0)</f>
        <v>13500.000000000004</v>
      </c>
      <c r="AS78" s="480">
        <f>IF(MOD(AQ4,'Tableau de bord'!$B$61)=0,(('Tableau de bord'!$C$63)*$E$7)*SUM($E$49:AS49),0)</f>
        <v>0</v>
      </c>
      <c r="AT78" s="480">
        <f>IF(MOD(AR4,'Tableau de bord'!$B$61)=0,(('Tableau de bord'!$C$63)*$E$7)*SUM($E$49:AT49),0)</f>
        <v>0</v>
      </c>
      <c r="AU78" s="480">
        <f>IF(MOD(AS4,'Tableau de bord'!$B$61)=0,(('Tableau de bord'!$C$63)*$E$7)*SUM($E$49:AU49),0)</f>
        <v>0</v>
      </c>
      <c r="AV78" s="480">
        <f>IF(MOD(AT4,'Tableau de bord'!$B$61)=0,(('Tableau de bord'!$C$63)*$E$7)*SUM($E$49:AV49),0)</f>
        <v>0</v>
      </c>
      <c r="AW78" s="480">
        <f>IF(MOD(AU4,'Tableau de bord'!$B$61)=0,(('Tableau de bord'!$C$63)*$E$7)*SUM($E$49:AW49),0)</f>
        <v>0</v>
      </c>
      <c r="AX78" s="480">
        <f>IF(MOD(AV4,'Tableau de bord'!$B$61)=0,(('Tableau de bord'!$C$63)*$E$7)*SUM($E$49:AX49),0)</f>
        <v>0</v>
      </c>
      <c r="AY78" s="480">
        <f>IF(MOD(AW4,'Tableau de bord'!$B$61)=0,(('Tableau de bord'!$C$63)*$E$7)*SUM($E$49:AY49),0)</f>
        <v>0</v>
      </c>
      <c r="AZ78" s="546">
        <f>IF(MOD(AX4,'Tableau de bord'!$B$61)=0,(('Tableau de bord'!$C$63)*$E$7)*SUM($E$49:AZ49),0)</f>
        <v>0</v>
      </c>
    </row>
    <row r="79" spans="1:52" hidden="1" outlineLevel="1">
      <c r="A79" s="67" t="s">
        <v>154</v>
      </c>
      <c r="C79" s="549"/>
      <c r="D79" s="550"/>
      <c r="E79" s="550"/>
      <c r="F79" s="480">
        <f>IF(MOD(C4,'Tableau de bord'!$B$61)=0,(('Tableau de bord'!$C$63)*$F$7)*SUM($F$50:F50),0)</f>
        <v>0</v>
      </c>
      <c r="G79" s="480">
        <f>IF(MOD(D4,'Tableau de bord'!$B$61)=0,(('Tableau de bord'!$C$63)*$F$7)*SUM($F$50:G50),0)</f>
        <v>0</v>
      </c>
      <c r="H79" s="480">
        <f>IF(MOD(E4,'Tableau de bord'!$B$61)=0,(('Tableau de bord'!$C$63)*$F$7)*SUM($F$50:H50),0)</f>
        <v>0</v>
      </c>
      <c r="I79" s="480">
        <f>IF(MOD(F4,'Tableau de bord'!$B$61)=0,(('Tableau de bord'!$C$63)*$F$7)*SUM($F$50:I50),0)</f>
        <v>0</v>
      </c>
      <c r="J79" s="480">
        <f>IF(MOD(G4,'Tableau de bord'!$B$61)=0,(('Tableau de bord'!$C$63)*$F$7)*SUM($F$50:J50),0)</f>
        <v>0</v>
      </c>
      <c r="K79" s="480">
        <f>IF(MOD(H4,'Tableau de bord'!$B$61)=0,(('Tableau de bord'!$C$63)*$F$7)*SUM($F$50:K50),0)</f>
        <v>0</v>
      </c>
      <c r="L79" s="480">
        <f>IF(MOD(I4,'Tableau de bord'!$B$61)=0,(('Tableau de bord'!$C$63)*$F$7)*SUM($F$50:L50),0)</f>
        <v>0</v>
      </c>
      <c r="M79" s="480">
        <f>IF(MOD(J4,'Tableau de bord'!$B$61)=0,(('Tableau de bord'!$C$63)*$F$7)*SUM($F$50:M50),0)</f>
        <v>0</v>
      </c>
      <c r="N79" s="480">
        <f>IF(MOD(K4,'Tableau de bord'!$B$61)=0,(('Tableau de bord'!$C$63)*$F$7)*SUM($F$50:N50),0)</f>
        <v>0</v>
      </c>
      <c r="O79" s="480">
        <f>IF(MOD(L4,'Tableau de bord'!$B$61)=0,(('Tableau de bord'!$C$63)*$F$7)*SUM($F$50:O50),0)</f>
        <v>0</v>
      </c>
      <c r="P79" s="480">
        <f>IF(MOD(M4,'Tableau de bord'!$B$61)=0,(('Tableau de bord'!$C$63)*$F$7)*SUM($F$50:P50),0)</f>
        <v>0</v>
      </c>
      <c r="Q79" s="480">
        <f>IF(MOD(N4,'Tableau de bord'!$B$61)=0,(('Tableau de bord'!$C$63)*$F$7)*SUM($F$50:Q50),0)</f>
        <v>0</v>
      </c>
      <c r="R79" s="480">
        <f>IF(MOD(O4,'Tableau de bord'!$B$61)=0,(('Tableau de bord'!$C$63)*$F$7)*SUM($F$50:R50),0)</f>
        <v>0</v>
      </c>
      <c r="S79" s="480">
        <f>IF(MOD(P4,'Tableau de bord'!$B$61)=0,(('Tableau de bord'!$C$63)*$F$7)*SUM($F$50:S50),0)</f>
        <v>0</v>
      </c>
      <c r="T79" s="480">
        <f>IF(MOD(Q4,'Tableau de bord'!$B$61)=0,(('Tableau de bord'!$C$63)*$F$7)*SUM($F$50:T50),0)</f>
        <v>0</v>
      </c>
      <c r="U79" s="480">
        <f>IF(MOD(R4,'Tableau de bord'!$B$61)=0,(('Tableau de bord'!$C$63)*$F$7)*SUM($F$50:U50),0)</f>
        <v>0</v>
      </c>
      <c r="V79" s="480">
        <f>IF(MOD(S4,'Tableau de bord'!$B$61)=0,(('Tableau de bord'!$C$63)*$F$7)*SUM($F$50:V50),0)</f>
        <v>0</v>
      </c>
      <c r="W79" s="480">
        <f>IF(MOD(T4,'Tableau de bord'!$B$61)=0,(('Tableau de bord'!$C$63)*$F$7)*SUM($F$50:W50),0)</f>
        <v>0</v>
      </c>
      <c r="X79" s="480">
        <f>IF(MOD(U4,'Tableau de bord'!$B$61)=0,(('Tableau de bord'!$C$63)*$F$7)*SUM($F$50:X50),0)</f>
        <v>0</v>
      </c>
      <c r="Y79" s="480">
        <f>IF(MOD(V4,'Tableau de bord'!$B$61)=0,(('Tableau de bord'!$C$63)*$F$7)*SUM($F$50:Y50),0)</f>
        <v>14400.000000000004</v>
      </c>
      <c r="Z79" s="480">
        <f>IF(MOD(W4,'Tableau de bord'!$B$61)=0,(('Tableau de bord'!$C$63)*$F$7)*SUM($F$50:Z50),0)</f>
        <v>0</v>
      </c>
      <c r="AA79" s="480">
        <f>IF(MOD(X4,'Tableau de bord'!$B$61)=0,(('Tableau de bord'!$C$63)*$F$7)*SUM($F$50:AA50),0)</f>
        <v>0</v>
      </c>
      <c r="AB79" s="480">
        <f>IF(MOD(Y4,'Tableau de bord'!$B$61)=0,(('Tableau de bord'!$C$63)*$F$7)*SUM($F$50:AB50),0)</f>
        <v>0</v>
      </c>
      <c r="AC79" s="480">
        <f>IF(MOD(Z4,'Tableau de bord'!$B$61)=0,(('Tableau de bord'!$C$63)*$F$7)*SUM($F$50:AC50),0)</f>
        <v>0</v>
      </c>
      <c r="AD79" s="480">
        <f>IF(MOD(AA4,'Tableau de bord'!$B$61)=0,(('Tableau de bord'!$C$63)*$F$7)*SUM($F$50:AD50),0)</f>
        <v>0</v>
      </c>
      <c r="AE79" s="480">
        <f>IF(MOD(AB4,'Tableau de bord'!$B$61)=0,(('Tableau de bord'!$C$63)*$F$7)*SUM($F$50:AE50),0)</f>
        <v>0</v>
      </c>
      <c r="AF79" s="480">
        <f>IF(MOD(AC4,'Tableau de bord'!$B$61)=0,(('Tableau de bord'!$C$63)*$F$7)*SUM($F$50:AF50),0)</f>
        <v>0</v>
      </c>
      <c r="AG79" s="480">
        <f>IF(MOD(AD4,'Tableau de bord'!$B$61)=0,(('Tableau de bord'!$C$63)*$F$7)*SUM($F$50:AG50),0)</f>
        <v>0</v>
      </c>
      <c r="AH79" s="480">
        <f>IF(MOD(AE4,'Tableau de bord'!$B$61)=0,(('Tableau de bord'!$C$63)*$F$7)*SUM($F$50:AH50),0)</f>
        <v>0</v>
      </c>
      <c r="AI79" s="480">
        <f>IF(MOD(AF4,'Tableau de bord'!$B$61)=0,(('Tableau de bord'!$C$63)*$F$7)*SUM($F$50:AI50),0)</f>
        <v>0</v>
      </c>
      <c r="AJ79" s="480">
        <f>IF(MOD(AG4,'Tableau de bord'!$B$61)=0,(('Tableau de bord'!$C$63)*$F$7)*SUM($F$50:AJ50),0)</f>
        <v>0</v>
      </c>
      <c r="AK79" s="480">
        <f>IF(MOD(AH4,'Tableau de bord'!$B$61)=0,(('Tableau de bord'!$C$63)*$F$7)*SUM($F$50:AK50),0)</f>
        <v>0</v>
      </c>
      <c r="AL79" s="480">
        <f>IF(MOD(AI4,'Tableau de bord'!$B$61)=0,(('Tableau de bord'!$C$63)*$F$7)*SUM($F$50:AL50),0)</f>
        <v>0</v>
      </c>
      <c r="AM79" s="480">
        <f>IF(MOD(AJ4,'Tableau de bord'!$B$61)=0,(('Tableau de bord'!$C$63)*$F$7)*SUM($F$50:AM50),0)</f>
        <v>0</v>
      </c>
      <c r="AN79" s="480">
        <f>IF(MOD(AK4,'Tableau de bord'!$B$61)=0,(('Tableau de bord'!$C$63)*$F$7)*SUM($F$50:AN50),0)</f>
        <v>0</v>
      </c>
      <c r="AO79" s="480">
        <f>IF(MOD(AL4,'Tableau de bord'!$B$61)=0,(('Tableau de bord'!$C$63)*$F$7)*SUM($F$50:AO50),0)</f>
        <v>0</v>
      </c>
      <c r="AP79" s="480">
        <f>IF(MOD(AM4,'Tableau de bord'!$B$61)=0,(('Tableau de bord'!$C$63)*$F$7)*SUM($F$50:AP50),0)</f>
        <v>0</v>
      </c>
      <c r="AQ79" s="480">
        <f>IF(MOD(AN4,'Tableau de bord'!$B$61)=0,(('Tableau de bord'!$C$63)*$F$7)*SUM($F$50:AQ50),0)</f>
        <v>0</v>
      </c>
      <c r="AR79" s="480">
        <f>IF(MOD(AO4,'Tableau de bord'!$B$61)=0,(('Tableau de bord'!$C$63)*$F$7)*SUM($F$50:AR50),0)</f>
        <v>0</v>
      </c>
      <c r="AS79" s="480">
        <f>IF(MOD(AP4,'Tableau de bord'!$B$61)=0,(('Tableau de bord'!$C$63)*$F$7)*SUM($F$50:AS50),0)</f>
        <v>14400.000000000004</v>
      </c>
      <c r="AT79" s="480">
        <f>IF(MOD(AQ4,'Tableau de bord'!$B$61)=0,(('Tableau de bord'!$C$63)*$F$7)*SUM($F$50:AT50),0)</f>
        <v>0</v>
      </c>
      <c r="AU79" s="480">
        <f>IF(MOD(AR4,'Tableau de bord'!$B$61)=0,(('Tableau de bord'!$C$63)*$F$7)*SUM($F$50:AU50),0)</f>
        <v>0</v>
      </c>
      <c r="AV79" s="480">
        <f>IF(MOD(AS4,'Tableau de bord'!$B$61)=0,(('Tableau de bord'!$C$63)*$F$7)*SUM($F$50:AV50),0)</f>
        <v>0</v>
      </c>
      <c r="AW79" s="480">
        <f>IF(MOD(AT4,'Tableau de bord'!$B$61)=0,(('Tableau de bord'!$C$63)*$F$7)*SUM($F$50:AW50),0)</f>
        <v>0</v>
      </c>
      <c r="AX79" s="480">
        <f>IF(MOD(AU4,'Tableau de bord'!$B$61)=0,(('Tableau de bord'!$C$63)*$F$7)*SUM($F$50:AX50),0)</f>
        <v>0</v>
      </c>
      <c r="AY79" s="480">
        <f>IF(MOD(AV4,'Tableau de bord'!$B$61)=0,(('Tableau de bord'!$C$63)*$F$7)*SUM($F$50:AY50),0)</f>
        <v>0</v>
      </c>
      <c r="AZ79" s="546">
        <f>IF(MOD(AW4,'Tableau de bord'!$B$61)=0,(('Tableau de bord'!$C$63)*$F$7)*SUM($F$50:AZ50),0)</f>
        <v>0</v>
      </c>
    </row>
    <row r="80" spans="1:52" hidden="1" outlineLevel="1">
      <c r="A80" s="67" t="s">
        <v>155</v>
      </c>
      <c r="C80" s="549"/>
      <c r="D80" s="550"/>
      <c r="E80" s="550"/>
      <c r="F80" s="550"/>
      <c r="G80" s="480">
        <f>IF(MOD(C4,'Tableau de bord'!$B$61)=0,(('Tableau de bord'!$C$63)*$G$7)*SUM($G$51:G51),0)</f>
        <v>0</v>
      </c>
      <c r="H80" s="480">
        <f>IF(MOD(D4,'Tableau de bord'!$B$61)=0,(('Tableau de bord'!$C$63)*$G$7)*SUM($G$51:H51),0)</f>
        <v>0</v>
      </c>
      <c r="I80" s="480">
        <f>IF(MOD(E4,'Tableau de bord'!$B$61)=0,(('Tableau de bord'!$C$63)*$G$7)*SUM($G$51:I51),0)</f>
        <v>0</v>
      </c>
      <c r="J80" s="480">
        <f>IF(MOD(F4,'Tableau de bord'!$B$61)=0,(('Tableau de bord'!$C$63)*$G$7)*SUM($G$51:J51),0)</f>
        <v>0</v>
      </c>
      <c r="K80" s="480">
        <f>IF(MOD(G4,'Tableau de bord'!$B$61)=0,(('Tableau de bord'!$C$63)*$G$7)*SUM($G$51:K51),0)</f>
        <v>0</v>
      </c>
      <c r="L80" s="480">
        <f>IF(MOD(H4,'Tableau de bord'!$B$61)=0,(('Tableau de bord'!$C$63)*$G$7)*SUM($G$51:L51),0)</f>
        <v>0</v>
      </c>
      <c r="M80" s="480">
        <f>IF(MOD(I4,'Tableau de bord'!$B$61)=0,(('Tableau de bord'!$C$63)*$G$7)*SUM($G$51:M51),0)</f>
        <v>0</v>
      </c>
      <c r="N80" s="480">
        <f>IF(MOD(J4,'Tableau de bord'!$B$61)=0,(('Tableau de bord'!$C$63)*$G$7)*SUM($G$51:N51),0)</f>
        <v>0</v>
      </c>
      <c r="O80" s="480">
        <f>IF(MOD(K4,'Tableau de bord'!$B$61)=0,(('Tableau de bord'!$C$63)*$G$7)*SUM($G$51:O51),0)</f>
        <v>0</v>
      </c>
      <c r="P80" s="480">
        <f>IF(MOD(L4,'Tableau de bord'!$B$61)=0,(('Tableau de bord'!$C$63)*$G$7)*SUM($G$51:P51),0)</f>
        <v>0</v>
      </c>
      <c r="Q80" s="480">
        <f>IF(MOD(M4,'Tableau de bord'!$B$61)=0,(('Tableau de bord'!$C$63)*$G$7)*SUM($G$51:Q51),0)</f>
        <v>0</v>
      </c>
      <c r="R80" s="480">
        <f>IF(MOD(N4,'Tableau de bord'!$B$61)=0,(('Tableau de bord'!$C$63)*$G$7)*SUM($G$51:R51),0)</f>
        <v>0</v>
      </c>
      <c r="S80" s="480">
        <f>IF(MOD(O4,'Tableau de bord'!$B$61)=0,(('Tableau de bord'!$C$63)*$G$7)*SUM($G$51:S51),0)</f>
        <v>0</v>
      </c>
      <c r="T80" s="480">
        <f>IF(MOD(P4,'Tableau de bord'!$B$61)=0,(('Tableau de bord'!$C$63)*$G$7)*SUM($G$51:T51),0)</f>
        <v>0</v>
      </c>
      <c r="U80" s="480">
        <f>IF(MOD(Q4,'Tableau de bord'!$B$61)=0,(('Tableau de bord'!$C$63)*$G$7)*SUM($G$51:U51),0)</f>
        <v>0</v>
      </c>
      <c r="V80" s="480">
        <f>IF(MOD(R4,'Tableau de bord'!$B$61)=0,(('Tableau de bord'!$C$63)*$G$7)*SUM($G$51:V51),0)</f>
        <v>0</v>
      </c>
      <c r="W80" s="480">
        <f>IF(MOD(S4,'Tableau de bord'!$B$61)=0,(('Tableau de bord'!$C$63)*$G$7)*SUM($G$51:W51),0)</f>
        <v>0</v>
      </c>
      <c r="X80" s="480">
        <f>IF(MOD(T4,'Tableau de bord'!$B$61)=0,(('Tableau de bord'!$C$63)*$G$7)*SUM($G$51:X51),0)</f>
        <v>0</v>
      </c>
      <c r="Y80" s="480">
        <f>IF(MOD(U4,'Tableau de bord'!$B$61)=0,(('Tableau de bord'!$C$63)*$G$7)*SUM($G$51:Y51),0)</f>
        <v>0</v>
      </c>
      <c r="Z80" s="480">
        <f>IF(MOD(V4,'Tableau de bord'!$B$61)=0,(('Tableau de bord'!$C$63)*$G$7)*SUM($G$51:Z51),0)</f>
        <v>13500.000000000004</v>
      </c>
      <c r="AA80" s="480">
        <f>IF(MOD(W4,'Tableau de bord'!$B$61)=0,(('Tableau de bord'!$C$63)*$G$7)*SUM($G$51:AA51),0)</f>
        <v>0</v>
      </c>
      <c r="AB80" s="480">
        <f>IF(MOD(X4,'Tableau de bord'!$B$61)=0,(('Tableau de bord'!$C$63)*$G$7)*SUM($G$51:AB51),0)</f>
        <v>0</v>
      </c>
      <c r="AC80" s="480">
        <f>IF(MOD(Y4,'Tableau de bord'!$B$61)=0,(('Tableau de bord'!$C$63)*$G$7)*SUM($G$51:AC51),0)</f>
        <v>0</v>
      </c>
      <c r="AD80" s="480">
        <f>IF(MOD(Z4,'Tableau de bord'!$B$61)=0,(('Tableau de bord'!$C$63)*$G$7)*SUM($G$51:AD51),0)</f>
        <v>0</v>
      </c>
      <c r="AE80" s="480">
        <f>IF(MOD(AA4,'Tableau de bord'!$B$61)=0,(('Tableau de bord'!$C$63)*$G$7)*SUM($G$51:AE51),0)</f>
        <v>0</v>
      </c>
      <c r="AF80" s="480">
        <f>IF(MOD(AB4,'Tableau de bord'!$B$61)=0,(('Tableau de bord'!$C$63)*$G$7)*SUM($G$51:AF51),0)</f>
        <v>0</v>
      </c>
      <c r="AG80" s="480">
        <f>IF(MOD(AC4,'Tableau de bord'!$B$61)=0,(('Tableau de bord'!$C$63)*$G$7)*SUM($G$51:AG51),0)</f>
        <v>0</v>
      </c>
      <c r="AH80" s="480">
        <f>IF(MOD(AD4,'Tableau de bord'!$B$61)=0,(('Tableau de bord'!$C$63)*$G$7)*SUM($G$51:AH51),0)</f>
        <v>0</v>
      </c>
      <c r="AI80" s="480">
        <f>IF(MOD(AE4,'Tableau de bord'!$B$61)=0,(('Tableau de bord'!$C$63)*$G$7)*SUM($G$51:AI51),0)</f>
        <v>0</v>
      </c>
      <c r="AJ80" s="480">
        <f>IF(MOD(AF4,'Tableau de bord'!$B$61)=0,(('Tableau de bord'!$C$63)*$G$7)*SUM($G$51:AJ51),0)</f>
        <v>0</v>
      </c>
      <c r="AK80" s="480">
        <f>IF(MOD(AG4,'Tableau de bord'!$B$61)=0,(('Tableau de bord'!$C$63)*$G$7)*SUM($G$51:AK51),0)</f>
        <v>0</v>
      </c>
      <c r="AL80" s="480">
        <f>IF(MOD(AH4,'Tableau de bord'!$B$61)=0,(('Tableau de bord'!$C$63)*$G$7)*SUM($G$51:AL51),0)</f>
        <v>0</v>
      </c>
      <c r="AM80" s="480">
        <f>IF(MOD(AI4,'Tableau de bord'!$B$61)=0,(('Tableau de bord'!$C$63)*$G$7)*SUM($G$51:AM51),0)</f>
        <v>0</v>
      </c>
      <c r="AN80" s="480">
        <f>IF(MOD(AJ4,'Tableau de bord'!$B$61)=0,(('Tableau de bord'!$C$63)*$G$7)*SUM($G$51:AN51),0)</f>
        <v>0</v>
      </c>
      <c r="AO80" s="480">
        <f>IF(MOD(AK4,'Tableau de bord'!$B$61)=0,(('Tableau de bord'!$C$63)*$G$7)*SUM($G$51:AO51),0)</f>
        <v>0</v>
      </c>
      <c r="AP80" s="480">
        <f>IF(MOD(AL4,'Tableau de bord'!$B$61)=0,(('Tableau de bord'!$C$63)*$G$7)*SUM($G$51:AP51),0)</f>
        <v>0</v>
      </c>
      <c r="AQ80" s="480">
        <f>IF(MOD(AM4,'Tableau de bord'!$B$61)=0,(('Tableau de bord'!$C$63)*$G$7)*SUM($G$51:AQ51),0)</f>
        <v>0</v>
      </c>
      <c r="AR80" s="480">
        <f>IF(MOD(AN4,'Tableau de bord'!$B$61)=0,(('Tableau de bord'!$C$63)*$G$7)*SUM($G$51:AR51),0)</f>
        <v>0</v>
      </c>
      <c r="AS80" s="480">
        <f>IF(MOD(AO4,'Tableau de bord'!$B$61)=0,(('Tableau de bord'!$C$63)*$G$7)*SUM($G$51:AS51),0)</f>
        <v>0</v>
      </c>
      <c r="AT80" s="480">
        <f>IF(MOD(AP4,'Tableau de bord'!$B$61)=0,(('Tableau de bord'!$C$63)*$G$7)*SUM($G$51:AT51),0)</f>
        <v>13500.000000000004</v>
      </c>
      <c r="AU80" s="480">
        <f>IF(MOD(AQ4,'Tableau de bord'!$B$61)=0,(('Tableau de bord'!$C$63)*$G$7)*SUM($G$51:AU51),0)</f>
        <v>0</v>
      </c>
      <c r="AV80" s="480">
        <f>IF(MOD(AR4,'Tableau de bord'!$B$61)=0,(('Tableau de bord'!$C$63)*$G$7)*SUM($G$51:AV51),0)</f>
        <v>0</v>
      </c>
      <c r="AW80" s="480">
        <f>IF(MOD(AS4,'Tableau de bord'!$B$61)=0,(('Tableau de bord'!$C$63)*$G$7)*SUM($G$51:AW51),0)</f>
        <v>0</v>
      </c>
      <c r="AX80" s="480">
        <f>IF(MOD(AT4,'Tableau de bord'!$B$61)=0,(('Tableau de bord'!$C$63)*$G$7)*SUM($G$51:AX51),0)</f>
        <v>0</v>
      </c>
      <c r="AY80" s="480">
        <f>IF(MOD(AU4,'Tableau de bord'!$B$61)=0,(('Tableau de bord'!$C$63)*$G$7)*SUM($G$51:AY51),0)</f>
        <v>0</v>
      </c>
      <c r="AZ80" s="546">
        <f>IF(MOD(AV4,'Tableau de bord'!$B$61)=0,(('Tableau de bord'!$C$63)*$G$7)*SUM($G$51:AZ51),0)</f>
        <v>0</v>
      </c>
    </row>
    <row r="81" spans="1:52" hidden="1" outlineLevel="1">
      <c r="A81" s="67" t="s">
        <v>156</v>
      </c>
      <c r="C81" s="549"/>
      <c r="D81" s="550"/>
      <c r="E81" s="550"/>
      <c r="F81" s="550"/>
      <c r="G81" s="550"/>
      <c r="H81" s="480">
        <f>IF(MOD(C4,'Tableau de bord'!$B$61)=0,(('Tableau de bord'!$C$63)*$H$7)*SUM($H$52:H52),0)</f>
        <v>0</v>
      </c>
      <c r="I81" s="480">
        <f>IF(MOD(D4,'Tableau de bord'!$B$61)=0,(('Tableau de bord'!$C$63)*$H$7)*SUM($H$52:I52),0)</f>
        <v>0</v>
      </c>
      <c r="J81" s="480">
        <f>IF(MOD(E4,'Tableau de bord'!$B$61)=0,(('Tableau de bord'!$C$63)*$H$7)*SUM($H$52:J52),0)</f>
        <v>0</v>
      </c>
      <c r="K81" s="480">
        <f>IF(MOD(F4,'Tableau de bord'!$B$61)=0,(('Tableau de bord'!$C$63)*$H$7)*SUM($H$52:K52),0)</f>
        <v>0</v>
      </c>
      <c r="L81" s="480">
        <f>IF(MOD(G4,'Tableau de bord'!$B$61)=0,(('Tableau de bord'!$C$63)*$H$7)*SUM($H$52:L52),0)</f>
        <v>0</v>
      </c>
      <c r="M81" s="480">
        <f>IF(MOD(H4,'Tableau de bord'!$B$61)=0,(('Tableau de bord'!$C$63)*$H$7)*SUM($H$52:M52),0)</f>
        <v>0</v>
      </c>
      <c r="N81" s="480">
        <f>IF(MOD(I4,'Tableau de bord'!$B$61)=0,(('Tableau de bord'!$C$63)*$H$7)*SUM($H$52:N52),0)</f>
        <v>0</v>
      </c>
      <c r="O81" s="480">
        <f>IF(MOD(J4,'Tableau de bord'!$B$61)=0,(('Tableau de bord'!$C$63)*$H$7)*SUM($H$52:O52),0)</f>
        <v>0</v>
      </c>
      <c r="P81" s="480">
        <f>IF(MOD(K4,'Tableau de bord'!$B$61)=0,(('Tableau de bord'!$C$63)*$H$7)*SUM($H$52:P52),0)</f>
        <v>0</v>
      </c>
      <c r="Q81" s="480">
        <f>IF(MOD(L4,'Tableau de bord'!$B$61)=0,(('Tableau de bord'!$C$63)*$H$7)*SUM($H$52:Q52),0)</f>
        <v>0</v>
      </c>
      <c r="R81" s="480">
        <f>IF(MOD(M4,'Tableau de bord'!$B$61)=0,(('Tableau de bord'!$C$63)*$H$7)*SUM($H$52:R52),0)</f>
        <v>0</v>
      </c>
      <c r="S81" s="480">
        <f>IF(MOD(N4,'Tableau de bord'!$B$61)=0,(('Tableau de bord'!$C$63)*$H$7)*SUM($H$52:S52),0)</f>
        <v>0</v>
      </c>
      <c r="T81" s="480">
        <f>IF(MOD(O4,'Tableau de bord'!$B$61)=0,(('Tableau de bord'!$C$63)*$H$7)*SUM($H$52:T52),0)</f>
        <v>0</v>
      </c>
      <c r="U81" s="480">
        <f>IF(MOD(P4,'Tableau de bord'!$B$61)=0,(('Tableau de bord'!$C$63)*$H$7)*SUM($H$52:U52),0)</f>
        <v>0</v>
      </c>
      <c r="V81" s="480">
        <f>IF(MOD(Q4,'Tableau de bord'!$B$61)=0,(('Tableau de bord'!$C$63)*$H$7)*SUM($H$52:V52),0)</f>
        <v>0</v>
      </c>
      <c r="W81" s="480">
        <f>IF(MOD(R4,'Tableau de bord'!$B$61)=0,(('Tableau de bord'!$C$63)*$H$7)*SUM($H$52:W52),0)</f>
        <v>0</v>
      </c>
      <c r="X81" s="480">
        <f>IF(MOD(S4,'Tableau de bord'!$B$61)=0,(('Tableau de bord'!$C$63)*$H$7)*SUM($H$52:X52),0)</f>
        <v>0</v>
      </c>
      <c r="Y81" s="480">
        <f>IF(MOD(T4,'Tableau de bord'!$B$61)=0,(('Tableau de bord'!$C$63)*$H$7)*SUM($H$52:Y52),0)</f>
        <v>0</v>
      </c>
      <c r="Z81" s="480">
        <f>IF(MOD(U4,'Tableau de bord'!$B$61)=0,(('Tableau de bord'!$C$63)*$H$7)*SUM($H$52:Z52),0)</f>
        <v>0</v>
      </c>
      <c r="AA81" s="480">
        <f>IF(MOD(V4,'Tableau de bord'!$B$61)=0,(('Tableau de bord'!$C$63)*$H$7)*SUM($H$52:AA52),0)</f>
        <v>11700.000000000004</v>
      </c>
      <c r="AB81" s="480">
        <f>IF(MOD(W4,'Tableau de bord'!$B$61)=0,(('Tableau de bord'!$C$63)*$H$7)*SUM($H$52:AB52),0)</f>
        <v>0</v>
      </c>
      <c r="AC81" s="480">
        <f>IF(MOD(X4,'Tableau de bord'!$B$61)=0,(('Tableau de bord'!$C$63)*$H$7)*SUM($H$52:AC52),0)</f>
        <v>0</v>
      </c>
      <c r="AD81" s="480">
        <f>IF(MOD(Y4,'Tableau de bord'!$B$61)=0,(('Tableau de bord'!$C$63)*$H$7)*SUM($H$52:AD52),0)</f>
        <v>0</v>
      </c>
      <c r="AE81" s="480">
        <f>IF(MOD(Z4,'Tableau de bord'!$B$61)=0,(('Tableau de bord'!$C$63)*$H$7)*SUM($H$52:AE52),0)</f>
        <v>0</v>
      </c>
      <c r="AF81" s="480">
        <f>IF(MOD(AA4,'Tableau de bord'!$B$61)=0,(('Tableau de bord'!$C$63)*$H$7)*SUM($H$52:AF52),0)</f>
        <v>0</v>
      </c>
      <c r="AG81" s="480">
        <f>IF(MOD(AB4,'Tableau de bord'!$B$61)=0,(('Tableau de bord'!$C$63)*$H$7)*SUM($H$52:AG52),0)</f>
        <v>0</v>
      </c>
      <c r="AH81" s="480">
        <f>IF(MOD(AC4,'Tableau de bord'!$B$61)=0,(('Tableau de bord'!$C$63)*$H$7)*SUM($H$52:AH52),0)</f>
        <v>0</v>
      </c>
      <c r="AI81" s="480">
        <f>IF(MOD(AD4,'Tableau de bord'!$B$61)=0,(('Tableau de bord'!$C$63)*$H$7)*SUM($H$52:AI52),0)</f>
        <v>0</v>
      </c>
      <c r="AJ81" s="480">
        <f>IF(MOD(AE4,'Tableau de bord'!$B$61)=0,(('Tableau de bord'!$C$63)*$H$7)*SUM($H$52:AJ52),0)</f>
        <v>0</v>
      </c>
      <c r="AK81" s="480">
        <f>IF(MOD(AF4,'Tableau de bord'!$B$61)=0,(('Tableau de bord'!$C$63)*$H$7)*SUM($H$52:AK52),0)</f>
        <v>0</v>
      </c>
      <c r="AL81" s="480">
        <f>IF(MOD(AG4,'Tableau de bord'!$B$61)=0,(('Tableau de bord'!$C$63)*$H$7)*SUM($H$52:AL52),0)</f>
        <v>0</v>
      </c>
      <c r="AM81" s="480">
        <f>IF(MOD(AH4,'Tableau de bord'!$B$61)=0,(('Tableau de bord'!$C$63)*$H$7)*SUM($H$52:AM52),0)</f>
        <v>0</v>
      </c>
      <c r="AN81" s="480">
        <f>IF(MOD(AI4,'Tableau de bord'!$B$61)=0,(('Tableau de bord'!$C$63)*$H$7)*SUM($H$52:AN52),0)</f>
        <v>0</v>
      </c>
      <c r="AO81" s="480">
        <f>IF(MOD(AJ4,'Tableau de bord'!$B$61)=0,(('Tableau de bord'!$C$63)*$H$7)*SUM($H$52:AO52),0)</f>
        <v>0</v>
      </c>
      <c r="AP81" s="480">
        <f>IF(MOD(AK4,'Tableau de bord'!$B$61)=0,(('Tableau de bord'!$C$63)*$H$7)*SUM($H$52:AP52),0)</f>
        <v>0</v>
      </c>
      <c r="AQ81" s="480">
        <f>IF(MOD(AL4,'Tableau de bord'!$B$61)=0,(('Tableau de bord'!$C$63)*$H$7)*SUM($H$52:AQ52),0)</f>
        <v>0</v>
      </c>
      <c r="AR81" s="480">
        <f>IF(MOD(AM4,'Tableau de bord'!$B$61)=0,(('Tableau de bord'!$C$63)*$H$7)*SUM($H$52:AR52),0)</f>
        <v>0</v>
      </c>
      <c r="AS81" s="480">
        <f>IF(MOD(AN4,'Tableau de bord'!$B$61)=0,(('Tableau de bord'!$C$63)*$H$7)*SUM($H$52:AS52),0)</f>
        <v>0</v>
      </c>
      <c r="AT81" s="480">
        <f>IF(MOD(AO4,'Tableau de bord'!$B$61)=0,(('Tableau de bord'!$C$63)*$H$7)*SUM($H$52:AT52),0)</f>
        <v>0</v>
      </c>
      <c r="AU81" s="480">
        <f>IF(MOD(AP4,'Tableau de bord'!$B$61)=0,(('Tableau de bord'!$C$63)*$H$7)*SUM($H$52:AU52),0)</f>
        <v>11700.000000000004</v>
      </c>
      <c r="AV81" s="480">
        <f>IF(MOD(AQ4,'Tableau de bord'!$B$61)=0,(('Tableau de bord'!$C$63)*$H$7)*SUM($H$52:AV52),0)</f>
        <v>0</v>
      </c>
      <c r="AW81" s="480">
        <f>IF(MOD(AR4,'Tableau de bord'!$B$61)=0,(('Tableau de bord'!$C$63)*$H$7)*SUM($H$52:AW52),0)</f>
        <v>0</v>
      </c>
      <c r="AX81" s="480">
        <f>IF(MOD(AS4,'Tableau de bord'!$B$61)=0,(('Tableau de bord'!$C$63)*$H$7)*SUM($H$52:AX52),0)</f>
        <v>0</v>
      </c>
      <c r="AY81" s="480">
        <f>IF(MOD(AT4,'Tableau de bord'!$B$61)=0,(('Tableau de bord'!$C$63)*$H$7)*SUM($H$52:AY52),0)</f>
        <v>0</v>
      </c>
      <c r="AZ81" s="546">
        <f>IF(MOD(AU4,'Tableau de bord'!$B$61)=0,(('Tableau de bord'!$C$63)*$H$7)*SUM($H$52:AZ52),0)</f>
        <v>0</v>
      </c>
    </row>
    <row r="82" spans="1:52" hidden="1" outlineLevel="1">
      <c r="A82" s="67" t="s">
        <v>157</v>
      </c>
      <c r="C82" s="549"/>
      <c r="D82" s="550"/>
      <c r="E82" s="550"/>
      <c r="F82" s="550"/>
      <c r="G82" s="550"/>
      <c r="H82" s="550"/>
      <c r="I82" s="480">
        <f>IF(MOD(C4,'Tableau de bord'!$B$61)=0,(('Tableau de bord'!$C$63)*$I$7)*SUM($I$53:I53),0)</f>
        <v>0</v>
      </c>
      <c r="J82" s="480">
        <f>IF(MOD(D4,'Tableau de bord'!$B$61)=0,(('Tableau de bord'!$C$63)*$I$7)*SUM($I$53:J53),0)</f>
        <v>0</v>
      </c>
      <c r="K82" s="480">
        <f>IF(MOD(E4,'Tableau de bord'!$B$61)=0,(('Tableau de bord'!$C$63)*$I$7)*SUM($I$53:K53),0)</f>
        <v>0</v>
      </c>
      <c r="L82" s="480">
        <f>IF(MOD(F4,'Tableau de bord'!$B$61)=0,(('Tableau de bord'!$C$63)*$I$7)*SUM($I$53:L53),0)</f>
        <v>0</v>
      </c>
      <c r="M82" s="480">
        <f>IF(MOD(G4,'Tableau de bord'!$B$61)=0,(('Tableau de bord'!$C$63)*$I$7)*SUM($I$53:M53),0)</f>
        <v>0</v>
      </c>
      <c r="N82" s="480">
        <f>IF(MOD(H4,'Tableau de bord'!$B$61)=0,(('Tableau de bord'!$C$63)*$I$7)*SUM($I$53:N53),0)</f>
        <v>0</v>
      </c>
      <c r="O82" s="480">
        <f>IF(MOD(I4,'Tableau de bord'!$B$61)=0,(('Tableau de bord'!$C$63)*$I$7)*SUM($I$53:O53),0)</f>
        <v>0</v>
      </c>
      <c r="P82" s="480">
        <f>IF(MOD(J4,'Tableau de bord'!$B$61)=0,(('Tableau de bord'!$C$63)*$I$7)*SUM($I$53:P53),0)</f>
        <v>0</v>
      </c>
      <c r="Q82" s="480">
        <f>IF(MOD(K4,'Tableau de bord'!$B$61)=0,(('Tableau de bord'!$C$63)*$I$7)*SUM($I$53:Q53),0)</f>
        <v>0</v>
      </c>
      <c r="R82" s="480">
        <f>IF(MOD(L4,'Tableau de bord'!$B$61)=0,(('Tableau de bord'!$C$63)*$I$7)*SUM($I$53:R53),0)</f>
        <v>0</v>
      </c>
      <c r="S82" s="480">
        <f>IF(MOD(M4,'Tableau de bord'!$B$61)=0,(('Tableau de bord'!$C$63)*$I$7)*SUM($I$53:S53),0)</f>
        <v>0</v>
      </c>
      <c r="T82" s="480">
        <f>IF(MOD(N4,'Tableau de bord'!$B$61)=0,(('Tableau de bord'!$C$63)*$I$7)*SUM($I$53:T53),0)</f>
        <v>0</v>
      </c>
      <c r="U82" s="480">
        <f>IF(MOD(O4,'Tableau de bord'!$B$61)=0,(('Tableau de bord'!$C$63)*$I$7)*SUM($I$53:U53),0)</f>
        <v>0</v>
      </c>
      <c r="V82" s="480">
        <f>IF(MOD(P4,'Tableau de bord'!$B$61)=0,(('Tableau de bord'!$C$63)*$I$7)*SUM($I$53:V53),0)</f>
        <v>0</v>
      </c>
      <c r="W82" s="480">
        <f>IF(MOD(Q4,'Tableau de bord'!$B$61)=0,(('Tableau de bord'!$C$63)*$I$7)*SUM($I$53:W53),0)</f>
        <v>0</v>
      </c>
      <c r="X82" s="480">
        <f>IF(MOD(R4,'Tableau de bord'!$B$61)=0,(('Tableau de bord'!$C$63)*$I$7)*SUM($I$53:X53),0)</f>
        <v>0</v>
      </c>
      <c r="Y82" s="480">
        <f>IF(MOD(S4,'Tableau de bord'!$B$61)=0,(('Tableau de bord'!$C$63)*$I$7)*SUM($I$53:Y53),0)</f>
        <v>0</v>
      </c>
      <c r="Z82" s="480">
        <f>IF(MOD(T4,'Tableau de bord'!$B$61)=0,(('Tableau de bord'!$C$63)*$I$7)*SUM($I$53:Z53),0)</f>
        <v>0</v>
      </c>
      <c r="AA82" s="480">
        <f>IF(MOD(U4,'Tableau de bord'!$B$61)=0,(('Tableau de bord'!$C$63)*$I$7)*SUM($I$53:AA53),0)</f>
        <v>0</v>
      </c>
      <c r="AB82" s="480">
        <f>IF(MOD(V4,'Tableau de bord'!$B$61)=0,(('Tableau de bord'!$C$63)*$I$7)*SUM($I$53:AB53),0)</f>
        <v>8100.0000000000018</v>
      </c>
      <c r="AC82" s="480">
        <f>IF(MOD(W4,'Tableau de bord'!$B$61)=0,(('Tableau de bord'!$C$63)*$I$7)*SUM($I$53:AC53),0)</f>
        <v>0</v>
      </c>
      <c r="AD82" s="480">
        <f>IF(MOD(X4,'Tableau de bord'!$B$61)=0,(('Tableau de bord'!$C$63)*$I$7)*SUM($I$53:AD53),0)</f>
        <v>0</v>
      </c>
      <c r="AE82" s="480">
        <f>IF(MOD(Y4,'Tableau de bord'!$B$61)=0,(('Tableau de bord'!$C$63)*$I$7)*SUM($I$53:AE53),0)</f>
        <v>0</v>
      </c>
      <c r="AF82" s="480">
        <f>IF(MOD(Z4,'Tableau de bord'!$B$61)=0,(('Tableau de bord'!$C$63)*$I$7)*SUM($I$53:AF53),0)</f>
        <v>0</v>
      </c>
      <c r="AG82" s="480">
        <f>IF(MOD(AA4,'Tableau de bord'!$B$61)=0,(('Tableau de bord'!$C$63)*$I$7)*SUM($I$53:AG53),0)</f>
        <v>0</v>
      </c>
      <c r="AH82" s="480">
        <f>IF(MOD(AB4,'Tableau de bord'!$B$61)=0,(('Tableau de bord'!$C$63)*$I$7)*SUM($I$53:AH53),0)</f>
        <v>0</v>
      </c>
      <c r="AI82" s="480">
        <f>IF(MOD(AC4,'Tableau de bord'!$B$61)=0,(('Tableau de bord'!$C$63)*$I$7)*SUM($I$53:AI53),0)</f>
        <v>0</v>
      </c>
      <c r="AJ82" s="480">
        <f>IF(MOD(AD4,'Tableau de bord'!$B$61)=0,(('Tableau de bord'!$C$63)*$I$7)*SUM($I$53:AJ53),0)</f>
        <v>0</v>
      </c>
      <c r="AK82" s="480">
        <f>IF(MOD(AE4,'Tableau de bord'!$B$61)=0,(('Tableau de bord'!$C$63)*$I$7)*SUM($I$53:AK53),0)</f>
        <v>0</v>
      </c>
      <c r="AL82" s="480">
        <f>IF(MOD(AF4,'Tableau de bord'!$B$61)=0,(('Tableau de bord'!$C$63)*$I$7)*SUM($I$53:AL53),0)</f>
        <v>0</v>
      </c>
      <c r="AM82" s="480">
        <f>IF(MOD(AG4,'Tableau de bord'!$B$61)=0,(('Tableau de bord'!$C$63)*$I$7)*SUM($I$53:AM53),0)</f>
        <v>0</v>
      </c>
      <c r="AN82" s="480">
        <f>IF(MOD(AH4,'Tableau de bord'!$B$61)=0,(('Tableau de bord'!$C$63)*$I$7)*SUM($I$53:AN53),0)</f>
        <v>0</v>
      </c>
      <c r="AO82" s="480">
        <f>IF(MOD(AI4,'Tableau de bord'!$B$61)=0,(('Tableau de bord'!$C$63)*$I$7)*SUM($I$53:AO53),0)</f>
        <v>0</v>
      </c>
      <c r="AP82" s="480">
        <f>IF(MOD(AJ4,'Tableau de bord'!$B$61)=0,(('Tableau de bord'!$C$63)*$I$7)*SUM($I$53:AP53),0)</f>
        <v>0</v>
      </c>
      <c r="AQ82" s="480">
        <f>IF(MOD(AK4,'Tableau de bord'!$B$61)=0,(('Tableau de bord'!$C$63)*$I$7)*SUM($I$53:AQ53),0)</f>
        <v>0</v>
      </c>
      <c r="AR82" s="480">
        <f>IF(MOD(AL4,'Tableau de bord'!$B$61)=0,(('Tableau de bord'!$C$63)*$I$7)*SUM($I$53:AR53),0)</f>
        <v>0</v>
      </c>
      <c r="AS82" s="480">
        <f>IF(MOD(AM4,'Tableau de bord'!$B$61)=0,(('Tableau de bord'!$C$63)*$I$7)*SUM($I$53:AS53),0)</f>
        <v>0</v>
      </c>
      <c r="AT82" s="480">
        <f>IF(MOD(AN4,'Tableau de bord'!$B$61)=0,(('Tableau de bord'!$C$63)*$I$7)*SUM($I$53:AT53),0)</f>
        <v>0</v>
      </c>
      <c r="AU82" s="480">
        <f>IF(MOD(AO4,'Tableau de bord'!$B$61)=0,(('Tableau de bord'!$C$63)*$I$7)*SUM($I$53:AU53),0)</f>
        <v>0</v>
      </c>
      <c r="AV82" s="480">
        <f>IF(MOD(AP4,'Tableau de bord'!$B$61)=0,(('Tableau de bord'!$C$63)*$I$7)*SUM($I$53:AV53),0)</f>
        <v>8100.0000000000018</v>
      </c>
      <c r="AW82" s="480">
        <f>IF(MOD(AQ4,'Tableau de bord'!$B$61)=0,(('Tableau de bord'!$C$63)*$I$7)*SUM($I$53:AW53),0)</f>
        <v>0</v>
      </c>
      <c r="AX82" s="480">
        <f>IF(MOD(AR4,'Tableau de bord'!$B$61)=0,(('Tableau de bord'!$C$63)*$I$7)*SUM($I$53:AX53),0)</f>
        <v>0</v>
      </c>
      <c r="AY82" s="480">
        <f>IF(MOD(AS4,'Tableau de bord'!$B$61)=0,(('Tableau de bord'!$C$63)*$I$7)*SUM($I$53:AY53),0)</f>
        <v>0</v>
      </c>
      <c r="AZ82" s="546">
        <f>IF(MOD(AT4,'Tableau de bord'!$B$61)=0,(('Tableau de bord'!$C$63)*$I$7)*SUM($I$53:AZ53),0)</f>
        <v>0</v>
      </c>
    </row>
    <row r="83" spans="1:52" hidden="1" outlineLevel="1">
      <c r="A83" s="67" t="s">
        <v>158</v>
      </c>
      <c r="C83" s="549"/>
      <c r="D83" s="550"/>
      <c r="E83" s="550"/>
      <c r="F83" s="550"/>
      <c r="G83" s="550"/>
      <c r="H83" s="550"/>
      <c r="I83" s="550"/>
      <c r="J83" s="480">
        <f>IF(MOD(C4,'Tableau de bord'!$B$61)=0,(('Tableau de bord'!$C$63)*$J$7)*SUM($J$54:J54),0)</f>
        <v>0</v>
      </c>
      <c r="K83" s="480">
        <f>IF(MOD(D4,'Tableau de bord'!$B$61)=0,(('Tableau de bord'!$C$63)*$J$7)*SUM($J$54:K54),0)</f>
        <v>0</v>
      </c>
      <c r="L83" s="480">
        <f>IF(MOD(E4,'Tableau de bord'!$B$61)=0,(('Tableau de bord'!$C$63)*$J$7)*SUM($J$54:L54),0)</f>
        <v>0</v>
      </c>
      <c r="M83" s="480">
        <f>IF(MOD(F4,'Tableau de bord'!$B$61)=0,(('Tableau de bord'!$C$63)*$J$7)*SUM($J$54:M54),0)</f>
        <v>0</v>
      </c>
      <c r="N83" s="480">
        <f>IF(MOD(G4,'Tableau de bord'!$B$61)=0,(('Tableau de bord'!$C$63)*$J$7)*SUM($J$54:N54),0)</f>
        <v>0</v>
      </c>
      <c r="O83" s="480">
        <f>IF(MOD(H4,'Tableau de bord'!$B$61)=0,(('Tableau de bord'!$C$63)*$J$7)*SUM($J$54:O54),0)</f>
        <v>0</v>
      </c>
      <c r="P83" s="480">
        <f>IF(MOD(I4,'Tableau de bord'!$B$61)=0,(('Tableau de bord'!$C$63)*$J$7)*SUM($J$54:P54),0)</f>
        <v>0</v>
      </c>
      <c r="Q83" s="480">
        <f>IF(MOD(J4,'Tableau de bord'!$B$61)=0,(('Tableau de bord'!$C$63)*$J$7)*SUM($J$54:Q54),0)</f>
        <v>0</v>
      </c>
      <c r="R83" s="480">
        <f>IF(MOD(K4,'Tableau de bord'!$B$61)=0,(('Tableau de bord'!$C$63)*$J$7)*SUM($J$54:R54),0)</f>
        <v>0</v>
      </c>
      <c r="S83" s="480">
        <f>IF(MOD(L4,'Tableau de bord'!$B$61)=0,(('Tableau de bord'!$C$63)*$J$7)*SUM($J$54:S54),0)</f>
        <v>0</v>
      </c>
      <c r="T83" s="480">
        <f>IF(MOD(M4,'Tableau de bord'!$B$61)=0,(('Tableau de bord'!$C$63)*$J$7)*SUM($J$54:T54),0)</f>
        <v>0</v>
      </c>
      <c r="U83" s="480">
        <f>IF(MOD(N4,'Tableau de bord'!$B$61)=0,(('Tableau de bord'!$C$63)*$J$7)*SUM($J$54:U54),0)</f>
        <v>0</v>
      </c>
      <c r="V83" s="480">
        <f>IF(MOD(O4,'Tableau de bord'!$B$61)=0,(('Tableau de bord'!$C$63)*$J$7)*SUM($J$54:V54),0)</f>
        <v>0</v>
      </c>
      <c r="W83" s="480">
        <f>IF(MOD(P4,'Tableau de bord'!$B$61)=0,(('Tableau de bord'!$C$63)*$J$7)*SUM($J$54:W54),0)</f>
        <v>0</v>
      </c>
      <c r="X83" s="480">
        <f>IF(MOD(Q4,'Tableau de bord'!$B$61)=0,(('Tableau de bord'!$C$63)*$J$7)*SUM($J$54:X54),0)</f>
        <v>0</v>
      </c>
      <c r="Y83" s="480">
        <f>IF(MOD(R4,'Tableau de bord'!$B$61)=0,(('Tableau de bord'!$C$63)*$J$7)*SUM($J$54:Y54),0)</f>
        <v>0</v>
      </c>
      <c r="Z83" s="480">
        <f>IF(MOD(S4,'Tableau de bord'!$B$61)=0,(('Tableau de bord'!$C$63)*$J$7)*SUM($J$54:Z54),0)</f>
        <v>0</v>
      </c>
      <c r="AA83" s="480">
        <f>IF(MOD(T4,'Tableau de bord'!$B$61)=0,(('Tableau de bord'!$C$63)*$J$7)*SUM($J$54:AA54),0)</f>
        <v>0</v>
      </c>
      <c r="AB83" s="480">
        <f>IF(MOD(U4,'Tableau de bord'!$B$61)=0,(('Tableau de bord'!$C$63)*$J$7)*SUM($J$54:AB54),0)</f>
        <v>0</v>
      </c>
      <c r="AC83" s="480">
        <f>IF(MOD(V4,'Tableau de bord'!$B$61)=0,(('Tableau de bord'!$C$63)*$J$7)*SUM($J$54:AC54),0)</f>
        <v>7200.0000000000018</v>
      </c>
      <c r="AD83" s="480">
        <f>IF(MOD(W4,'Tableau de bord'!$B$61)=0,(('Tableau de bord'!$C$63)*$J$7)*SUM($J$54:AD54),0)</f>
        <v>0</v>
      </c>
      <c r="AE83" s="480">
        <f>IF(MOD(X4,'Tableau de bord'!$B$61)=0,(('Tableau de bord'!$C$63)*$J$7)*SUM($J$54:AE54),0)</f>
        <v>0</v>
      </c>
      <c r="AF83" s="480">
        <f>IF(MOD(Y4,'Tableau de bord'!$B$61)=0,(('Tableau de bord'!$C$63)*$J$7)*SUM($J$54:AF54),0)</f>
        <v>0</v>
      </c>
      <c r="AG83" s="480">
        <f>IF(MOD(Z4,'Tableau de bord'!$B$61)=0,(('Tableau de bord'!$C$63)*$J$7)*SUM($J$54:AG54),0)</f>
        <v>0</v>
      </c>
      <c r="AH83" s="480">
        <f>IF(MOD(AA4,'Tableau de bord'!$B$61)=0,(('Tableau de bord'!$C$63)*$J$7)*SUM($J$54:AH54),0)</f>
        <v>0</v>
      </c>
      <c r="AI83" s="480">
        <f>IF(MOD(AB4,'Tableau de bord'!$B$61)=0,(('Tableau de bord'!$C$63)*$J$7)*SUM($J$54:AI54),0)</f>
        <v>0</v>
      </c>
      <c r="AJ83" s="480">
        <f>IF(MOD(AC4,'Tableau de bord'!$B$61)=0,(('Tableau de bord'!$C$63)*$J$7)*SUM($J$54:AJ54),0)</f>
        <v>0</v>
      </c>
      <c r="AK83" s="480">
        <f>IF(MOD(AD4,'Tableau de bord'!$B$61)=0,(('Tableau de bord'!$C$63)*$J$7)*SUM($J$54:AK54),0)</f>
        <v>0</v>
      </c>
      <c r="AL83" s="480">
        <f>IF(MOD(AE4,'Tableau de bord'!$B$61)=0,(('Tableau de bord'!$C$63)*$J$7)*SUM($J$54:AL54),0)</f>
        <v>0</v>
      </c>
      <c r="AM83" s="480">
        <f>IF(MOD(AF4,'Tableau de bord'!$B$61)=0,(('Tableau de bord'!$C$63)*$J$7)*SUM($J$54:AM54),0)</f>
        <v>0</v>
      </c>
      <c r="AN83" s="480">
        <f>IF(MOD(AG4,'Tableau de bord'!$B$61)=0,(('Tableau de bord'!$C$63)*$J$7)*SUM($J$54:AN54),0)</f>
        <v>0</v>
      </c>
      <c r="AO83" s="480">
        <f>IF(MOD(AH4,'Tableau de bord'!$B$61)=0,(('Tableau de bord'!$C$63)*$J$7)*SUM($J$54:AO54),0)</f>
        <v>0</v>
      </c>
      <c r="AP83" s="480">
        <f>IF(MOD(AI4,'Tableau de bord'!$B$61)=0,(('Tableau de bord'!$C$63)*$J$7)*SUM($J$54:AP54),0)</f>
        <v>0</v>
      </c>
      <c r="AQ83" s="480">
        <f>IF(MOD(AJ4,'Tableau de bord'!$B$61)=0,(('Tableau de bord'!$C$63)*$J$7)*SUM($J$54:AQ54),0)</f>
        <v>0</v>
      </c>
      <c r="AR83" s="480">
        <f>IF(MOD(AK4,'Tableau de bord'!$B$61)=0,(('Tableau de bord'!$C$63)*$J$7)*SUM($J$54:AR54),0)</f>
        <v>0</v>
      </c>
      <c r="AS83" s="480">
        <f>IF(MOD(AL4,'Tableau de bord'!$B$61)=0,(('Tableau de bord'!$C$63)*$J$7)*SUM($J$54:AS54),0)</f>
        <v>0</v>
      </c>
      <c r="AT83" s="480">
        <f>IF(MOD(AM4,'Tableau de bord'!$B$61)=0,(('Tableau de bord'!$C$63)*$J$7)*SUM($J$54:AT54),0)</f>
        <v>0</v>
      </c>
      <c r="AU83" s="480">
        <f>IF(MOD(AN4,'Tableau de bord'!$B$61)=0,(('Tableau de bord'!$C$63)*$J$7)*SUM($J$54:AU54),0)</f>
        <v>0</v>
      </c>
      <c r="AV83" s="480">
        <f>IF(MOD(AO4,'Tableau de bord'!$B$61)=0,(('Tableau de bord'!$C$63)*$J$7)*SUM($J$54:AV54),0)</f>
        <v>0</v>
      </c>
      <c r="AW83" s="480">
        <f>IF(MOD(AP4,'Tableau de bord'!$B$61)=0,(('Tableau de bord'!$C$63)*$J$7)*SUM($J$54:AW54),0)</f>
        <v>7200.0000000000018</v>
      </c>
      <c r="AX83" s="480">
        <f>IF(MOD(AQ4,'Tableau de bord'!$B$61)=0,(('Tableau de bord'!$C$63)*$J$7)*SUM($J$54:AX54),0)</f>
        <v>0</v>
      </c>
      <c r="AY83" s="480">
        <f>IF(MOD(AR4,'Tableau de bord'!$B$61)=0,(('Tableau de bord'!$C$63)*$J$7)*SUM($J$54:AY54),0)</f>
        <v>0</v>
      </c>
      <c r="AZ83" s="546">
        <f>IF(MOD(AS4,'Tableau de bord'!$B$61)=0,(('Tableau de bord'!$C$63)*$J$7)*SUM($J$54:AZ54),0)</f>
        <v>0</v>
      </c>
    </row>
    <row r="84" spans="1:52" hidden="1" outlineLevel="1">
      <c r="A84" s="67" t="s">
        <v>159</v>
      </c>
      <c r="C84" s="549"/>
      <c r="D84" s="550"/>
      <c r="E84" s="550"/>
      <c r="F84" s="550"/>
      <c r="G84" s="550"/>
      <c r="H84" s="550"/>
      <c r="I84" s="550"/>
      <c r="J84" s="550"/>
      <c r="K84" s="480">
        <f>IF(MOD(C4,'Tableau de bord'!$B$61)=0,(('Tableau de bord'!$C$63)*$K$7)*SUM($K$55:K55),0)</f>
        <v>0</v>
      </c>
      <c r="L84" s="480">
        <f>IF(MOD(D4,'Tableau de bord'!$B$61)=0,(('Tableau de bord'!$C$63)*$K$7)*SUM($K$55:L55),0)</f>
        <v>0</v>
      </c>
      <c r="M84" s="480">
        <f>IF(MOD(E4,'Tableau de bord'!$B$61)=0,(('Tableau de bord'!$C$63)*$K$7)*SUM($K$55:M55),0)</f>
        <v>0</v>
      </c>
      <c r="N84" s="480">
        <f>IF(MOD(F4,'Tableau de bord'!$B$61)=0,(('Tableau de bord'!$C$63)*$K$7)*SUM($K$55:N55),0)</f>
        <v>0</v>
      </c>
      <c r="O84" s="480">
        <f>IF(MOD(G4,'Tableau de bord'!$B$61)=0,(('Tableau de bord'!$C$63)*$K$7)*SUM($K$55:O55),0)</f>
        <v>0</v>
      </c>
      <c r="P84" s="480">
        <f>IF(MOD(H4,'Tableau de bord'!$B$61)=0,(('Tableau de bord'!$C$63)*$K$7)*SUM($K$55:P55),0)</f>
        <v>0</v>
      </c>
      <c r="Q84" s="480">
        <f>IF(MOD(I4,'Tableau de bord'!$B$61)=0,(('Tableau de bord'!$C$63)*$K$7)*SUM($K$55:Q55),0)</f>
        <v>0</v>
      </c>
      <c r="R84" s="480">
        <f>IF(MOD(J4,'Tableau de bord'!$B$61)=0,(('Tableau de bord'!$C$63)*$K$7)*SUM($K$55:R55),0)</f>
        <v>0</v>
      </c>
      <c r="S84" s="480">
        <f>IF(MOD(K4,'Tableau de bord'!$B$61)=0,(('Tableau de bord'!$C$63)*$K$7)*SUM($K$55:S55),0)</f>
        <v>0</v>
      </c>
      <c r="T84" s="480">
        <f>IF(MOD(L4,'Tableau de bord'!$B$61)=0,(('Tableau de bord'!$C$63)*$K$7)*SUM($K$55:T55),0)</f>
        <v>0</v>
      </c>
      <c r="U84" s="480">
        <f>IF(MOD(M4,'Tableau de bord'!$B$61)=0,(('Tableau de bord'!$C$63)*$K$7)*SUM($K$55:U55),0)</f>
        <v>0</v>
      </c>
      <c r="V84" s="480">
        <f>IF(MOD(N4,'Tableau de bord'!$B$61)=0,(('Tableau de bord'!$C$63)*$K$7)*SUM($K$55:V55),0)</f>
        <v>0</v>
      </c>
      <c r="W84" s="480">
        <f>IF(MOD(O4,'Tableau de bord'!$B$61)=0,(('Tableau de bord'!$C$63)*$K$7)*SUM($K$55:W55),0)</f>
        <v>0</v>
      </c>
      <c r="X84" s="480">
        <f>IF(MOD(P4,'Tableau de bord'!$B$61)=0,(('Tableau de bord'!$C$63)*$K$7)*SUM($K$55:X55),0)</f>
        <v>0</v>
      </c>
      <c r="Y84" s="480">
        <f>IF(MOD(Q4,'Tableau de bord'!$B$61)=0,(('Tableau de bord'!$C$63)*$K$7)*SUM($K$55:Y55),0)</f>
        <v>0</v>
      </c>
      <c r="Z84" s="480">
        <f>IF(MOD(R4,'Tableau de bord'!$B$61)=0,(('Tableau de bord'!$C$63)*$K$7)*SUM($K$55:Z55),0)</f>
        <v>0</v>
      </c>
      <c r="AA84" s="480">
        <f>IF(MOD(S4,'Tableau de bord'!$B$61)=0,(('Tableau de bord'!$C$63)*$K$7)*SUM($K$55:AA55),0)</f>
        <v>0</v>
      </c>
      <c r="AB84" s="480">
        <f>IF(MOD(T4,'Tableau de bord'!$B$61)=0,(('Tableau de bord'!$C$63)*$K$7)*SUM($K$55:AB55),0)</f>
        <v>0</v>
      </c>
      <c r="AC84" s="480">
        <f>IF(MOD(U4,'Tableau de bord'!$B$61)=0,(('Tableau de bord'!$C$63)*$K$7)*SUM($K$55:AC55),0)</f>
        <v>0</v>
      </c>
      <c r="AD84" s="480">
        <f>IF(MOD(V4,'Tableau de bord'!$B$61)=0,(('Tableau de bord'!$C$63)*$K$7)*SUM($K$55:AD55),0)</f>
        <v>2700.0000000000009</v>
      </c>
      <c r="AE84" s="480">
        <f>IF(MOD(W4,'Tableau de bord'!$B$61)=0,(('Tableau de bord'!$C$63)*$K$7)*SUM($K$55:AE55),0)</f>
        <v>0</v>
      </c>
      <c r="AF84" s="480">
        <f>IF(MOD(X4,'Tableau de bord'!$B$61)=0,(('Tableau de bord'!$C$63)*$K$7)*SUM($K$55:AF55),0)</f>
        <v>0</v>
      </c>
      <c r="AG84" s="480">
        <f>IF(MOD(Y4,'Tableau de bord'!$B$61)=0,(('Tableau de bord'!$C$63)*$K$7)*SUM($K$55:AG55),0)</f>
        <v>0</v>
      </c>
      <c r="AH84" s="480">
        <f>IF(MOD(Z4,'Tableau de bord'!$B$61)=0,(('Tableau de bord'!$C$63)*$K$7)*SUM($K$55:AH55),0)</f>
        <v>0</v>
      </c>
      <c r="AI84" s="480">
        <f>IF(MOD(AA4,'Tableau de bord'!$B$61)=0,(('Tableau de bord'!$C$63)*$K$7)*SUM($K$55:AI55),0)</f>
        <v>0</v>
      </c>
      <c r="AJ84" s="480">
        <f>IF(MOD(AB4,'Tableau de bord'!$B$61)=0,(('Tableau de bord'!$C$63)*$K$7)*SUM($K$55:AJ55),0)</f>
        <v>0</v>
      </c>
      <c r="AK84" s="480">
        <f>IF(MOD(AC4,'Tableau de bord'!$B$61)=0,(('Tableau de bord'!$C$63)*$K$7)*SUM($K$55:AK55),0)</f>
        <v>0</v>
      </c>
      <c r="AL84" s="480">
        <f>IF(MOD(AD4,'Tableau de bord'!$B$61)=0,(('Tableau de bord'!$C$63)*$K$7)*SUM($K$55:AL55),0)</f>
        <v>0</v>
      </c>
      <c r="AM84" s="480">
        <f>IF(MOD(AE4,'Tableau de bord'!$B$61)=0,(('Tableau de bord'!$C$63)*$K$7)*SUM($K$55:AM55),0)</f>
        <v>0</v>
      </c>
      <c r="AN84" s="480">
        <f>IF(MOD(AF4,'Tableau de bord'!$B$61)=0,(('Tableau de bord'!$C$63)*$K$7)*SUM($K$55:AN55),0)</f>
        <v>0</v>
      </c>
      <c r="AO84" s="480">
        <f>IF(MOD(AG4,'Tableau de bord'!$B$61)=0,(('Tableau de bord'!$C$63)*$K$7)*SUM($K$55:AO55),0)</f>
        <v>0</v>
      </c>
      <c r="AP84" s="480">
        <f>IF(MOD(AH4,'Tableau de bord'!$B$61)=0,(('Tableau de bord'!$C$63)*$K$7)*SUM($K$55:AP55),0)</f>
        <v>0</v>
      </c>
      <c r="AQ84" s="480">
        <f>IF(MOD(AI4,'Tableau de bord'!$B$61)=0,(('Tableau de bord'!$C$63)*$K$7)*SUM($K$55:AQ55),0)</f>
        <v>0</v>
      </c>
      <c r="AR84" s="480">
        <f>IF(MOD(AJ4,'Tableau de bord'!$B$61)=0,(('Tableau de bord'!$C$63)*$K$7)*SUM($K$55:AR55),0)</f>
        <v>0</v>
      </c>
      <c r="AS84" s="480">
        <f>IF(MOD(AK4,'Tableau de bord'!$B$61)=0,(('Tableau de bord'!$C$63)*$K$7)*SUM($K$55:AS55),0)</f>
        <v>0</v>
      </c>
      <c r="AT84" s="480">
        <f>IF(MOD(AL4,'Tableau de bord'!$B$61)=0,(('Tableau de bord'!$C$63)*$K$7)*SUM($K$55:AT55),0)</f>
        <v>0</v>
      </c>
      <c r="AU84" s="480">
        <f>IF(MOD(AM4,'Tableau de bord'!$B$61)=0,(('Tableau de bord'!$C$63)*$K$7)*SUM($K$55:AU55),0)</f>
        <v>0</v>
      </c>
      <c r="AV84" s="480">
        <f>IF(MOD(AN4,'Tableau de bord'!$B$61)=0,(('Tableau de bord'!$C$63)*$K$7)*SUM($K$55:AV55),0)</f>
        <v>0</v>
      </c>
      <c r="AW84" s="480">
        <f>IF(MOD(AO4,'Tableau de bord'!$B$61)=0,(('Tableau de bord'!$C$63)*$K$7)*SUM($K$55:AW55),0)</f>
        <v>0</v>
      </c>
      <c r="AX84" s="480">
        <f>IF(MOD(AP4,'Tableau de bord'!$B$61)=0,(('Tableau de bord'!$C$63)*$K$7)*SUM($K$55:AX55),0)</f>
        <v>2700.0000000000009</v>
      </c>
      <c r="AY84" s="480">
        <f>IF(MOD(AQ4,'Tableau de bord'!$B$61)=0,(('Tableau de bord'!$C$63)*$K$7)*SUM($K$55:AY55),0)</f>
        <v>0</v>
      </c>
      <c r="AZ84" s="546">
        <f>IF(MOD(AR4,'Tableau de bord'!$B$61)=0,(('Tableau de bord'!$C$63)*$K$7)*SUM($K$55:AZ55),0)</f>
        <v>0</v>
      </c>
    </row>
    <row r="85" spans="1:52" hidden="1" outlineLevel="1">
      <c r="A85" s="67" t="s">
        <v>160</v>
      </c>
      <c r="C85" s="551"/>
      <c r="D85" s="552"/>
      <c r="E85" s="552"/>
      <c r="F85" s="552"/>
      <c r="G85" s="552"/>
      <c r="H85" s="552"/>
      <c r="I85" s="552"/>
      <c r="J85" s="552"/>
      <c r="K85" s="552"/>
      <c r="L85" s="547">
        <f>IF(MOD(C4,'Tableau de bord'!$B$61)=0,(('Tableau de bord'!$C$63)*$L$7)*SUM($L$56:L56),0)</f>
        <v>0</v>
      </c>
      <c r="M85" s="547">
        <f>IF(MOD(D4,'Tableau de bord'!$B$61)=0,(('Tableau de bord'!$C$63)*$L$7)*SUM($L$56:M56),0)</f>
        <v>0</v>
      </c>
      <c r="N85" s="547">
        <f>IF(MOD(E4,'Tableau de bord'!$B$61)=0,(('Tableau de bord'!$C$63)*$L$7)*SUM($L$56:N56),0)</f>
        <v>0</v>
      </c>
      <c r="O85" s="547">
        <f>IF(MOD(F4,'Tableau de bord'!$B$61)=0,(('Tableau de bord'!$C$63)*$L$7)*SUM($L$56:O56),0)</f>
        <v>0</v>
      </c>
      <c r="P85" s="547">
        <f>IF(MOD(G4,'Tableau de bord'!$B$61)=0,(('Tableau de bord'!$C$63)*$L$7)*SUM($L$56:P56),0)</f>
        <v>0</v>
      </c>
      <c r="Q85" s="547">
        <f>IF(MOD(H4,'Tableau de bord'!$B$61)=0,(('Tableau de bord'!$C$63)*$L$7)*SUM($L$56:Q56),0)</f>
        <v>0</v>
      </c>
      <c r="R85" s="547">
        <f>IF(MOD(I4,'Tableau de bord'!$B$61)=0,(('Tableau de bord'!$C$63)*$L$7)*SUM($L$56:R56),0)</f>
        <v>0</v>
      </c>
      <c r="S85" s="547">
        <f>IF(MOD(J4,'Tableau de bord'!$B$61)=0,(('Tableau de bord'!$C$63)*$L$7)*SUM($L$56:S56),0)</f>
        <v>0</v>
      </c>
      <c r="T85" s="547">
        <f>IF(MOD(K4,'Tableau de bord'!$B$61)=0,(('Tableau de bord'!$C$63)*$L$7)*SUM($L$56:T56),0)</f>
        <v>0</v>
      </c>
      <c r="U85" s="547">
        <f>IF(MOD(L4,'Tableau de bord'!$B$61)=0,(('Tableau de bord'!$C$63)*$L$7)*SUM($L$56:U56),0)</f>
        <v>0</v>
      </c>
      <c r="V85" s="547">
        <f>IF(MOD(M4,'Tableau de bord'!$B$61)=0,(('Tableau de bord'!$C$63)*$L$7)*SUM($L$56:V56),0)</f>
        <v>0</v>
      </c>
      <c r="W85" s="547">
        <f>IF(MOD(N4,'Tableau de bord'!$B$61)=0,(('Tableau de bord'!$C$63)*$L$7)*SUM($L$56:W56),0)</f>
        <v>0</v>
      </c>
      <c r="X85" s="547">
        <f>IF(MOD(O4,'Tableau de bord'!$B$61)=0,(('Tableau de bord'!$C$63)*$L$7)*SUM($L$56:X56),0)</f>
        <v>0</v>
      </c>
      <c r="Y85" s="547">
        <f>IF(MOD(P4,'Tableau de bord'!$B$61)=0,(('Tableau de bord'!$C$63)*$L$7)*SUM($L$56:Y56),0)</f>
        <v>0</v>
      </c>
      <c r="Z85" s="547">
        <f>IF(MOD(Q4,'Tableau de bord'!$B$61)=0,(('Tableau de bord'!$C$63)*$L$7)*SUM($L$56:Z56),0)</f>
        <v>0</v>
      </c>
      <c r="AA85" s="547">
        <f>IF(MOD(R4,'Tableau de bord'!$B$61)=0,(('Tableau de bord'!$C$63)*$L$7)*SUM($L$56:AA56),0)</f>
        <v>0</v>
      </c>
      <c r="AB85" s="547">
        <f>IF(MOD(S4,'Tableau de bord'!$B$61)=0,(('Tableau de bord'!$C$63)*$L$7)*SUM($L$56:AB56),0)</f>
        <v>0</v>
      </c>
      <c r="AC85" s="547">
        <f>IF(MOD(T4,'Tableau de bord'!$B$61)=0,(('Tableau de bord'!$C$63)*$L$7)*SUM($L$56:AC56),0)</f>
        <v>0</v>
      </c>
      <c r="AD85" s="547">
        <f>IF(MOD(U4,'Tableau de bord'!$B$61)=0,(('Tableau de bord'!$C$63)*$L$7)*SUM($L$56:AD56),0)</f>
        <v>0</v>
      </c>
      <c r="AE85" s="547">
        <f>IF(MOD(V4,'Tableau de bord'!$B$61)=0,(('Tableau de bord'!$C$63)*$L$7)*SUM($L$56:AE56),0)</f>
        <v>0</v>
      </c>
      <c r="AF85" s="547">
        <f>IF(MOD(W4,'Tableau de bord'!$B$61)=0,(('Tableau de bord'!$C$63)*$L$7)*SUM($L$56:AF56),0)</f>
        <v>0</v>
      </c>
      <c r="AG85" s="547">
        <f>IF(MOD(X4,'Tableau de bord'!$B$61)=0,(('Tableau de bord'!$C$63)*$L$7)*SUM($L$56:AG56),0)</f>
        <v>0</v>
      </c>
      <c r="AH85" s="547">
        <f>IF(MOD(Y4,'Tableau de bord'!$B$61)=0,(('Tableau de bord'!$C$63)*$L$7)*SUM($L$56:AH56),0)</f>
        <v>0</v>
      </c>
      <c r="AI85" s="547">
        <f>IF(MOD(Z4,'Tableau de bord'!$B$61)=0,(('Tableau de bord'!$C$63)*$L$7)*SUM($L$56:AI56),0)</f>
        <v>0</v>
      </c>
      <c r="AJ85" s="547">
        <f>IF(MOD(AA4,'Tableau de bord'!$B$61)=0,(('Tableau de bord'!$C$63)*$L$7)*SUM($L$56:AJ56),0)</f>
        <v>0</v>
      </c>
      <c r="AK85" s="547">
        <f>IF(MOD(AB4,'Tableau de bord'!$B$61)=0,(('Tableau de bord'!$C$63)*$L$7)*SUM($L$56:AK56),0)</f>
        <v>0</v>
      </c>
      <c r="AL85" s="547">
        <f>IF(MOD(AC4,'Tableau de bord'!$B$61)=0,(('Tableau de bord'!$C$63)*$L$7)*SUM($L$56:AL56),0)</f>
        <v>0</v>
      </c>
      <c r="AM85" s="547">
        <f>IF(MOD(AD4,'Tableau de bord'!$B$61)=0,(('Tableau de bord'!$C$63)*$L$7)*SUM($L$56:AM56),0)</f>
        <v>0</v>
      </c>
      <c r="AN85" s="547">
        <f>IF(MOD(AE4,'Tableau de bord'!$B$61)=0,(('Tableau de bord'!$C$63)*$L$7)*SUM($L$56:AN56),0)</f>
        <v>0</v>
      </c>
      <c r="AO85" s="547">
        <f>IF(MOD(AF4,'Tableau de bord'!$B$61)=0,(('Tableau de bord'!$C$63)*$L$7)*SUM($L$56:AO56),0)</f>
        <v>0</v>
      </c>
      <c r="AP85" s="547">
        <f>IF(MOD(AG4,'Tableau de bord'!$B$61)=0,(('Tableau de bord'!$C$63)*$L$7)*SUM($L$56:AP56),0)</f>
        <v>0</v>
      </c>
      <c r="AQ85" s="547">
        <f>IF(MOD(AH4,'Tableau de bord'!$B$61)=0,(('Tableau de bord'!$C$63)*$L$7)*SUM($L$56:AQ56),0)</f>
        <v>0</v>
      </c>
      <c r="AR85" s="547">
        <f>IF(MOD(AI4,'Tableau de bord'!$B$61)=0,(('Tableau de bord'!$C$63)*$L$7)*SUM($L$56:AR56),0)</f>
        <v>0</v>
      </c>
      <c r="AS85" s="547">
        <f>IF(MOD(AJ4,'Tableau de bord'!$B$61)=0,(('Tableau de bord'!$C$63)*$L$7)*SUM($L$56:AS56),0)</f>
        <v>0</v>
      </c>
      <c r="AT85" s="547">
        <f>IF(MOD(AK4,'Tableau de bord'!$B$61)=0,(('Tableau de bord'!$C$63)*$L$7)*SUM($L$56:AT56),0)</f>
        <v>0</v>
      </c>
      <c r="AU85" s="547">
        <f>IF(MOD(AL4,'Tableau de bord'!$B$61)=0,(('Tableau de bord'!$C$63)*$L$7)*SUM($L$56:AU56),0)</f>
        <v>0</v>
      </c>
      <c r="AV85" s="547">
        <f>IF(MOD(AM4,'Tableau de bord'!$B$61)=0,(('Tableau de bord'!$C$63)*$L$7)*SUM($L$56:AV56),0)</f>
        <v>0</v>
      </c>
      <c r="AW85" s="547">
        <f>IF(MOD(AN4,'Tableau de bord'!$B$61)=0,(('Tableau de bord'!$C$63)*$L$7)*SUM($L$56:AW56),0)</f>
        <v>0</v>
      </c>
      <c r="AX85" s="547">
        <f>IF(MOD(AO4,'Tableau de bord'!$B$61)=0,(('Tableau de bord'!$C$63)*$L$7)*SUM($L$56:AX56),0)</f>
        <v>0</v>
      </c>
      <c r="AY85" s="547">
        <f>IF(MOD(AP4,'Tableau de bord'!$B$61)=0,(('Tableau de bord'!$C$63)*$L$7)*SUM($L$56:AY56),0)</f>
        <v>0</v>
      </c>
      <c r="AZ85" s="548">
        <f>IF(MOD(AQ4,'Tableau de bord'!$B$61)=0,(('Tableau de bord'!$C$63)*$L$7)*SUM($L$56:AZ56),0)</f>
        <v>0</v>
      </c>
    </row>
    <row r="86" spans="1:52" hidden="1" outlineLevel="1">
      <c r="C86" s="544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4"/>
      <c r="AQ86" s="544"/>
      <c r="AR86" s="544"/>
      <c r="AS86" s="544"/>
      <c r="AT86" s="544"/>
      <c r="AU86" s="544"/>
      <c r="AV86" s="544"/>
      <c r="AW86" s="544"/>
      <c r="AX86" s="544"/>
      <c r="AY86" s="544"/>
      <c r="AZ86" s="544"/>
    </row>
    <row r="87" spans="1:52" collapsed="1"/>
  </sheetData>
  <dataValidations count="1">
    <dataValidation allowBlank="1" showDropDown="1" showInputMessage="1" showErrorMessage="1" sqref="N28:V38 P43:P44 N21:AZ27 L39:AZ42 W30:AZ38 G20:AZ20 W43:AZ44 C47:AZ57 C18:D38 E18:AZ18 E19:E38 F19:AZ19 F20:F38 G21:M38 C59:AZ73 Q43:V45 C39:K45 C77:C85 D78:D85 E79:E85 F80:F84 F85:K85 G81:G84 H82:H84 I83:I84 J84"/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FF0000"/>
  </sheetPr>
  <dimension ref="A1:AZ2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2.75"/>
  <cols>
    <col min="1" max="1" width="57.7109375" style="468" bestFit="1" customWidth="1"/>
    <col min="2" max="2" width="22.140625" style="201" bestFit="1" customWidth="1"/>
    <col min="3" max="52" width="16.42578125" style="67" customWidth="1"/>
    <col min="53" max="16384" width="11.42578125" style="67"/>
  </cols>
  <sheetData>
    <row r="1" spans="1:52">
      <c r="A1" s="67"/>
      <c r="B1" s="258" t="s">
        <v>92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</row>
    <row r="2" spans="1:52">
      <c r="A2" s="434" t="s">
        <v>3</v>
      </c>
      <c r="B2" s="287"/>
      <c r="C2" s="435">
        <f>'Calcul de la réserve'!D7</f>
        <v>0.10069101678183623</v>
      </c>
    </row>
    <row r="3" spans="1:52">
      <c r="A3" s="434" t="s">
        <v>11</v>
      </c>
      <c r="B3" s="287"/>
      <c r="C3" s="436">
        <f>(C2/12)/((1+C2)^(1/12)-1)</f>
        <v>1.0453507537539473</v>
      </c>
      <c r="E3" s="437"/>
    </row>
    <row r="4" spans="1:52" s="317" customFormat="1">
      <c r="A4" s="438" t="s">
        <v>7</v>
      </c>
      <c r="B4" s="439"/>
      <c r="C4" s="315">
        <v>1</v>
      </c>
      <c r="D4" s="315">
        <v>2</v>
      </c>
      <c r="E4" s="315">
        <v>3</v>
      </c>
      <c r="F4" s="315">
        <v>4</v>
      </c>
      <c r="G4" s="315">
        <v>5</v>
      </c>
      <c r="H4" s="315">
        <v>6</v>
      </c>
      <c r="I4" s="315">
        <v>7</v>
      </c>
      <c r="J4" s="315">
        <v>8</v>
      </c>
      <c r="K4" s="315">
        <v>9</v>
      </c>
      <c r="L4" s="315">
        <v>10</v>
      </c>
      <c r="M4" s="315">
        <v>11</v>
      </c>
      <c r="N4" s="315">
        <v>12</v>
      </c>
      <c r="O4" s="315">
        <v>13</v>
      </c>
      <c r="P4" s="315">
        <v>14</v>
      </c>
      <c r="Q4" s="315">
        <v>15</v>
      </c>
      <c r="R4" s="315">
        <v>16</v>
      </c>
      <c r="S4" s="315">
        <v>17</v>
      </c>
      <c r="T4" s="315">
        <v>18</v>
      </c>
      <c r="U4" s="315">
        <v>19</v>
      </c>
      <c r="V4" s="315">
        <v>20</v>
      </c>
      <c r="W4" s="315">
        <v>21</v>
      </c>
      <c r="X4" s="315">
        <v>22</v>
      </c>
      <c r="Y4" s="315">
        <v>23</v>
      </c>
      <c r="Z4" s="315">
        <v>24</v>
      </c>
      <c r="AA4" s="315">
        <v>25</v>
      </c>
      <c r="AB4" s="315">
        <v>26</v>
      </c>
      <c r="AC4" s="315">
        <v>27</v>
      </c>
      <c r="AD4" s="315">
        <v>28</v>
      </c>
      <c r="AE4" s="315">
        <v>29</v>
      </c>
      <c r="AF4" s="315">
        <v>30</v>
      </c>
      <c r="AG4" s="315">
        <v>31</v>
      </c>
      <c r="AH4" s="315">
        <v>32</v>
      </c>
      <c r="AI4" s="315">
        <v>33</v>
      </c>
      <c r="AJ4" s="315">
        <v>34</v>
      </c>
      <c r="AK4" s="315">
        <v>35</v>
      </c>
      <c r="AL4" s="315">
        <v>36</v>
      </c>
      <c r="AM4" s="315">
        <v>37</v>
      </c>
      <c r="AN4" s="315">
        <v>38</v>
      </c>
      <c r="AO4" s="315">
        <v>39</v>
      </c>
      <c r="AP4" s="315">
        <v>40</v>
      </c>
      <c r="AQ4" s="315">
        <v>41</v>
      </c>
      <c r="AR4" s="315">
        <v>42</v>
      </c>
      <c r="AS4" s="315">
        <v>43</v>
      </c>
      <c r="AT4" s="315">
        <v>44</v>
      </c>
      <c r="AU4" s="315">
        <v>45</v>
      </c>
      <c r="AV4" s="315">
        <v>46</v>
      </c>
      <c r="AW4" s="315">
        <v>47</v>
      </c>
      <c r="AX4" s="315">
        <v>48</v>
      </c>
      <c r="AY4" s="315">
        <v>49</v>
      </c>
      <c r="AZ4" s="315">
        <v>50</v>
      </c>
    </row>
    <row r="5" spans="1:52" s="350" customFormat="1">
      <c r="A5" s="440" t="s">
        <v>10</v>
      </c>
      <c r="B5" s="441" t="str">
        <f>'Tableau de bord'!B71</f>
        <v>DSL (2002-2013)</v>
      </c>
      <c r="C5" s="442">
        <f>'Tableau de bord'!C71</f>
        <v>2.3287816455696202E-2</v>
      </c>
      <c r="D5" s="443">
        <f>'Tableau de bord'!D71</f>
        <v>6.8325787974683541E-2</v>
      </c>
      <c r="E5" s="443">
        <f>'Tableau de bord'!E71</f>
        <v>0.13493844936708863</v>
      </c>
      <c r="F5" s="443">
        <f>'Tableau de bord'!F71</f>
        <v>0.22834949367088608</v>
      </c>
      <c r="G5" s="443">
        <f>'Tableau de bord'!G71</f>
        <v>0.3201815490506329</v>
      </c>
      <c r="H5" s="443">
        <f>'Tableau de bord'!H71</f>
        <v>0.41276873259493668</v>
      </c>
      <c r="I5" s="443">
        <f>'Tableau de bord'!I71</f>
        <v>0.49387738924050634</v>
      </c>
      <c r="J5" s="443">
        <f>'Tableau de bord'!J71</f>
        <v>0.55469642405063291</v>
      </c>
      <c r="K5" s="443">
        <f>'Tableau de bord'!K71</f>
        <v>0.60899835901898736</v>
      </c>
      <c r="L5" s="443">
        <f>'Tableau de bord'!L71</f>
        <v>0.65139578322784808</v>
      </c>
      <c r="M5" s="443">
        <f>'Tableau de bord'!M71</f>
        <v>0.68600728639240505</v>
      </c>
      <c r="N5" s="443">
        <f>'Tableau de bord'!N71</f>
        <v>0.71</v>
      </c>
      <c r="O5" s="443">
        <f>'Tableau de bord'!O71</f>
        <v>0.72237664936835588</v>
      </c>
      <c r="P5" s="443">
        <f>'Tableau de bord'!P71</f>
        <v>0.73855120464462765</v>
      </c>
      <c r="Q5" s="443">
        <f>'Tableau de bord'!Q71</f>
        <v>0.75030224114249966</v>
      </c>
      <c r="R5" s="443">
        <f>'Tableau de bord'!R71</f>
        <v>0.75965381351725836</v>
      </c>
      <c r="S5" s="443">
        <f>'Tableau de bord'!S71</f>
        <v>0.77205735800551212</v>
      </c>
      <c r="T5" s="443">
        <f>'Tableau de bord'!T71</f>
        <v>0.7775916420363409</v>
      </c>
      <c r="U5" s="443">
        <f>'Tableau de bord'!U71</f>
        <v>0.78883585002935774</v>
      </c>
      <c r="V5" s="443">
        <f>'Tableau de bord'!V71</f>
        <v>0.79280852233329346</v>
      </c>
      <c r="W5" s="443">
        <f>'Tableau de bord'!W71</f>
        <v>0.80026026751359614</v>
      </c>
      <c r="X5" s="443">
        <f>'Tableau de bord'!X71</f>
        <v>0.8049579331479082</v>
      </c>
      <c r="Y5" s="443">
        <f>'Tableau de bord'!Y71</f>
        <v>0.8049579331479082</v>
      </c>
      <c r="Z5" s="443">
        <f>'Tableau de bord'!Z71</f>
        <v>0.8049579331479082</v>
      </c>
      <c r="AA5" s="443">
        <f>'Tableau de bord'!AA71</f>
        <v>0.8049579331479082</v>
      </c>
      <c r="AB5" s="443">
        <f>'Tableau de bord'!AB71</f>
        <v>0.8049579331479082</v>
      </c>
      <c r="AC5" s="443">
        <f>'Tableau de bord'!AC71</f>
        <v>0.8049579331479082</v>
      </c>
      <c r="AD5" s="443">
        <f>'Tableau de bord'!AD71</f>
        <v>0.8049579331479082</v>
      </c>
      <c r="AE5" s="443">
        <f>'Tableau de bord'!AE71</f>
        <v>0.8049579331479082</v>
      </c>
      <c r="AF5" s="443">
        <f>'Tableau de bord'!AF71</f>
        <v>0.8049579331479082</v>
      </c>
      <c r="AG5" s="443">
        <f>'Tableau de bord'!AG71</f>
        <v>0.8049579331479082</v>
      </c>
      <c r="AH5" s="443">
        <f>'Tableau de bord'!AH71</f>
        <v>0.8049579331479082</v>
      </c>
      <c r="AI5" s="443">
        <f>'Tableau de bord'!AI71</f>
        <v>0.8049579331479082</v>
      </c>
      <c r="AJ5" s="443">
        <f>'Tableau de bord'!AJ71</f>
        <v>0.8049579331479082</v>
      </c>
      <c r="AK5" s="443">
        <f>'Tableau de bord'!AK71</f>
        <v>0.8049579331479082</v>
      </c>
      <c r="AL5" s="443">
        <f>'Tableau de bord'!AL71</f>
        <v>0.8049579331479082</v>
      </c>
      <c r="AM5" s="443">
        <f>'Tableau de bord'!AM71</f>
        <v>0.8049579331479082</v>
      </c>
      <c r="AN5" s="443">
        <f>'Tableau de bord'!AN71</f>
        <v>0.8049579331479082</v>
      </c>
      <c r="AO5" s="443">
        <f>'Tableau de bord'!AO71</f>
        <v>0.8049579331479082</v>
      </c>
      <c r="AP5" s="443">
        <f>'Tableau de bord'!AP71</f>
        <v>0.8049579331479082</v>
      </c>
      <c r="AQ5" s="443">
        <f>'Tableau de bord'!AQ71</f>
        <v>0.8049579331479082</v>
      </c>
      <c r="AR5" s="443">
        <f>'Tableau de bord'!AR71</f>
        <v>0.8049579331479082</v>
      </c>
      <c r="AS5" s="443">
        <f>'Tableau de bord'!AS71</f>
        <v>0.8049579331479082</v>
      </c>
      <c r="AT5" s="443">
        <f>'Tableau de bord'!AT71</f>
        <v>0.8049579331479082</v>
      </c>
      <c r="AU5" s="443">
        <f>'Tableau de bord'!AU71</f>
        <v>0.8049579331479082</v>
      </c>
      <c r="AV5" s="443">
        <f>'Tableau de bord'!AV71</f>
        <v>0.8049579331479082</v>
      </c>
      <c r="AW5" s="443">
        <f>'Tableau de bord'!AW71</f>
        <v>0.8049579331479082</v>
      </c>
      <c r="AX5" s="443">
        <f>'Tableau de bord'!AX71</f>
        <v>0.8049579331479082</v>
      </c>
      <c r="AY5" s="443">
        <f>'Tableau de bord'!AY71</f>
        <v>0.8049579331479082</v>
      </c>
      <c r="AZ5" s="444">
        <f>'Tableau de bord'!AZ71</f>
        <v>0.8049579331479082</v>
      </c>
    </row>
    <row r="6" spans="1:52">
      <c r="A6" s="434" t="s">
        <v>20</v>
      </c>
      <c r="B6" s="445"/>
      <c r="C6" s="273">
        <f>SUM('Tableau de bord'!$C$28:C28)</f>
        <v>3200</v>
      </c>
      <c r="D6" s="446">
        <f>SUM('Tableau de bord'!$C$28:D28)</f>
        <v>10800</v>
      </c>
      <c r="E6" s="446">
        <f>SUM('Tableau de bord'!$C$28:E28)</f>
        <v>21900</v>
      </c>
      <c r="F6" s="446">
        <f>SUM('Tableau de bord'!$C$28:F28)</f>
        <v>35550</v>
      </c>
      <c r="G6" s="446">
        <f>SUM('Tableau de bord'!$C$28:G28)</f>
        <v>50300</v>
      </c>
      <c r="H6" s="446">
        <f>SUM('Tableau de bord'!$C$28:H28)</f>
        <v>64550</v>
      </c>
      <c r="I6" s="446">
        <f>SUM('Tableau de bord'!$C$28:I28)</f>
        <v>76650</v>
      </c>
      <c r="J6" s="446">
        <f>SUM('Tableau de bord'!$C$28:J28)</f>
        <v>86800</v>
      </c>
      <c r="K6" s="446">
        <f>SUM('Tableau de bord'!$C$28:K28)</f>
        <v>93800</v>
      </c>
      <c r="L6" s="446">
        <f>SUM('Tableau de bord'!$C$28:L28)</f>
        <v>97450</v>
      </c>
      <c r="M6" s="446">
        <f>SUM('Tableau de bord'!$C$28:M28)</f>
        <v>99150</v>
      </c>
      <c r="N6" s="446">
        <f>SUM('Tableau de bord'!$C$28:N28)</f>
        <v>99850</v>
      </c>
      <c r="O6" s="446">
        <f>SUM('Tableau de bord'!$C$28:O28)</f>
        <v>100000</v>
      </c>
      <c r="P6" s="446">
        <f>SUM('Tableau de bord'!$C$28:P28)</f>
        <v>100000</v>
      </c>
      <c r="Q6" s="446">
        <f>SUM('Tableau de bord'!$C$28:Q28)</f>
        <v>100000</v>
      </c>
      <c r="R6" s="446">
        <f>SUM('Tableau de bord'!$C$28:R28)</f>
        <v>100000</v>
      </c>
      <c r="S6" s="446">
        <f>SUM('Tableau de bord'!$C$28:S28)</f>
        <v>100000</v>
      </c>
      <c r="T6" s="446">
        <f>SUM('Tableau de bord'!$C$28:T28)</f>
        <v>100000</v>
      </c>
      <c r="U6" s="446">
        <f>SUM('Tableau de bord'!$C$28:U28)</f>
        <v>100000</v>
      </c>
      <c r="V6" s="446">
        <f>SUM('Tableau de bord'!$C$28:V28)</f>
        <v>100000</v>
      </c>
      <c r="W6" s="446">
        <f>SUM('Tableau de bord'!$C$28:W28)</f>
        <v>100000</v>
      </c>
      <c r="X6" s="446">
        <f>SUM('Tableau de bord'!$C$28:X28)</f>
        <v>100000</v>
      </c>
      <c r="Y6" s="446">
        <f>SUM('Tableau de bord'!$C$28:Y28)</f>
        <v>100000</v>
      </c>
      <c r="Z6" s="446">
        <f>SUM('Tableau de bord'!$C$28:Z28)</f>
        <v>100000</v>
      </c>
      <c r="AA6" s="446">
        <f>SUM('Tableau de bord'!$C$28:AA28)</f>
        <v>100000</v>
      </c>
      <c r="AB6" s="446">
        <f>SUM('Tableau de bord'!$C$28:AB28)</f>
        <v>100000</v>
      </c>
      <c r="AC6" s="446">
        <f>SUM('Tableau de bord'!$C$28:AC28)</f>
        <v>100000</v>
      </c>
      <c r="AD6" s="446">
        <f>SUM('Tableau de bord'!$C$28:AD28)</f>
        <v>100000</v>
      </c>
      <c r="AE6" s="446">
        <f>SUM('Tableau de bord'!$C$28:AE28)</f>
        <v>100000</v>
      </c>
      <c r="AF6" s="446">
        <f>SUM('Tableau de bord'!$C$28:AF28)</f>
        <v>100000</v>
      </c>
      <c r="AG6" s="446">
        <f>SUM('Tableau de bord'!$C$28:AG28)</f>
        <v>100000</v>
      </c>
      <c r="AH6" s="446">
        <f>SUM('Tableau de bord'!$C$28:AH28)</f>
        <v>100000</v>
      </c>
      <c r="AI6" s="446">
        <f>SUM('Tableau de bord'!$C$28:AI28)</f>
        <v>100000</v>
      </c>
      <c r="AJ6" s="446">
        <f>SUM('Tableau de bord'!$C$28:AJ28)</f>
        <v>100000</v>
      </c>
      <c r="AK6" s="446">
        <f>SUM('Tableau de bord'!$C$28:AK28)</f>
        <v>100000</v>
      </c>
      <c r="AL6" s="446">
        <f>SUM('Tableau de bord'!$C$28:AL28)</f>
        <v>100000</v>
      </c>
      <c r="AM6" s="446">
        <f>SUM('Tableau de bord'!$C$28:AM28)</f>
        <v>100000</v>
      </c>
      <c r="AN6" s="446">
        <f>SUM('Tableau de bord'!$C$28:AN28)</f>
        <v>100000</v>
      </c>
      <c r="AO6" s="446">
        <f>SUM('Tableau de bord'!$C$28:AO28)</f>
        <v>100000</v>
      </c>
      <c r="AP6" s="446">
        <f>SUM('Tableau de bord'!$C$28:AP28)</f>
        <v>100000</v>
      </c>
      <c r="AQ6" s="446">
        <f>SUM('Tableau de bord'!$C$28:AQ28)</f>
        <v>100000</v>
      </c>
      <c r="AR6" s="446">
        <f>SUM('Tableau de bord'!$C$28:AR28)</f>
        <v>100000</v>
      </c>
      <c r="AS6" s="446">
        <f>SUM('Tableau de bord'!$C$28:AS28)</f>
        <v>100000</v>
      </c>
      <c r="AT6" s="446">
        <f>SUM('Tableau de bord'!$C$28:AT28)</f>
        <v>100000</v>
      </c>
      <c r="AU6" s="446">
        <f>SUM('Tableau de bord'!$C$28:AU28)</f>
        <v>100000</v>
      </c>
      <c r="AV6" s="446">
        <f>SUM('Tableau de bord'!$C$28:AV28)</f>
        <v>100000</v>
      </c>
      <c r="AW6" s="446">
        <f>SUM('Tableau de bord'!$C$28:AW28)</f>
        <v>100000</v>
      </c>
      <c r="AX6" s="446">
        <f>SUM('Tableau de bord'!$C$28:AX28)</f>
        <v>100000</v>
      </c>
      <c r="AY6" s="446">
        <f>SUM('Tableau de bord'!$C$28:AY28)</f>
        <v>100000</v>
      </c>
      <c r="AZ6" s="447">
        <f>SUM('Tableau de bord'!$C$28:AZ28)</f>
        <v>100000</v>
      </c>
    </row>
    <row r="7" spans="1:52">
      <c r="A7" s="434" t="s">
        <v>15</v>
      </c>
      <c r="B7" s="304"/>
      <c r="C7" s="273">
        <f>C6*C5</f>
        <v>74.521012658227846</v>
      </c>
      <c r="D7" s="274">
        <f t="shared" ref="D7:AF7" si="0">D6*D5</f>
        <v>737.91851012658219</v>
      </c>
      <c r="E7" s="274">
        <f t="shared" si="0"/>
        <v>2955.1520411392407</v>
      </c>
      <c r="F7" s="274">
        <f t="shared" si="0"/>
        <v>8117.8245000000006</v>
      </c>
      <c r="G7" s="274">
        <f t="shared" si="0"/>
        <v>16105.131917246834</v>
      </c>
      <c r="H7" s="274">
        <f t="shared" si="0"/>
        <v>26644.221689003163</v>
      </c>
      <c r="I7" s="274">
        <f t="shared" si="0"/>
        <v>37855.701885284812</v>
      </c>
      <c r="J7" s="274">
        <f t="shared" si="0"/>
        <v>48147.64960759494</v>
      </c>
      <c r="K7" s="274">
        <f t="shared" si="0"/>
        <v>57124.046075981016</v>
      </c>
      <c r="L7" s="274">
        <f t="shared" si="0"/>
        <v>63478.519075553799</v>
      </c>
      <c r="M7" s="274">
        <f t="shared" si="0"/>
        <v>68017.622445806963</v>
      </c>
      <c r="N7" s="274">
        <f t="shared" si="0"/>
        <v>70893.5</v>
      </c>
      <c r="O7" s="274">
        <f t="shared" si="0"/>
        <v>72237.664936835587</v>
      </c>
      <c r="P7" s="274">
        <f t="shared" si="0"/>
        <v>73855.120464462758</v>
      </c>
      <c r="Q7" s="274">
        <f t="shared" si="0"/>
        <v>75030.22411424997</v>
      </c>
      <c r="R7" s="274">
        <f t="shared" si="0"/>
        <v>75965.381351725839</v>
      </c>
      <c r="S7" s="274">
        <f t="shared" si="0"/>
        <v>77205.735800551207</v>
      </c>
      <c r="T7" s="274">
        <f t="shared" si="0"/>
        <v>77759.164203634093</v>
      </c>
      <c r="U7" s="274">
        <f t="shared" si="0"/>
        <v>78883.585002935768</v>
      </c>
      <c r="V7" s="274">
        <f t="shared" si="0"/>
        <v>79280.852233329351</v>
      </c>
      <c r="W7" s="274">
        <f t="shared" si="0"/>
        <v>80026.026751359619</v>
      </c>
      <c r="X7" s="274">
        <f t="shared" si="0"/>
        <v>80495.793314790819</v>
      </c>
      <c r="Y7" s="274">
        <f t="shared" si="0"/>
        <v>80495.793314790819</v>
      </c>
      <c r="Z7" s="274">
        <f t="shared" si="0"/>
        <v>80495.793314790819</v>
      </c>
      <c r="AA7" s="274">
        <f t="shared" si="0"/>
        <v>80495.793314790819</v>
      </c>
      <c r="AB7" s="274">
        <f t="shared" si="0"/>
        <v>80495.793314790819</v>
      </c>
      <c r="AC7" s="274">
        <f t="shared" si="0"/>
        <v>80495.793314790819</v>
      </c>
      <c r="AD7" s="274">
        <f t="shared" si="0"/>
        <v>80495.793314790819</v>
      </c>
      <c r="AE7" s="274">
        <f t="shared" si="0"/>
        <v>80495.793314790819</v>
      </c>
      <c r="AF7" s="274">
        <f t="shared" si="0"/>
        <v>80495.793314790819</v>
      </c>
      <c r="AG7" s="274">
        <f t="shared" ref="AG7:AZ7" si="1">AG6*AG5</f>
        <v>80495.793314790819</v>
      </c>
      <c r="AH7" s="274">
        <f t="shared" si="1"/>
        <v>80495.793314790819</v>
      </c>
      <c r="AI7" s="274">
        <f t="shared" si="1"/>
        <v>80495.793314790819</v>
      </c>
      <c r="AJ7" s="274">
        <f t="shared" si="1"/>
        <v>80495.793314790819</v>
      </c>
      <c r="AK7" s="274">
        <f t="shared" si="1"/>
        <v>80495.793314790819</v>
      </c>
      <c r="AL7" s="274">
        <f t="shared" si="1"/>
        <v>80495.793314790819</v>
      </c>
      <c r="AM7" s="274">
        <f t="shared" si="1"/>
        <v>80495.793314790819</v>
      </c>
      <c r="AN7" s="274">
        <f t="shared" si="1"/>
        <v>80495.793314790819</v>
      </c>
      <c r="AO7" s="274">
        <f t="shared" si="1"/>
        <v>80495.793314790819</v>
      </c>
      <c r="AP7" s="274">
        <f t="shared" si="1"/>
        <v>80495.793314790819</v>
      </c>
      <c r="AQ7" s="274">
        <f t="shared" si="1"/>
        <v>80495.793314790819</v>
      </c>
      <c r="AR7" s="274">
        <f t="shared" si="1"/>
        <v>80495.793314790819</v>
      </c>
      <c r="AS7" s="274">
        <f t="shared" si="1"/>
        <v>80495.793314790819</v>
      </c>
      <c r="AT7" s="274">
        <f t="shared" si="1"/>
        <v>80495.793314790819</v>
      </c>
      <c r="AU7" s="274">
        <f t="shared" si="1"/>
        <v>80495.793314790819</v>
      </c>
      <c r="AV7" s="274">
        <f t="shared" si="1"/>
        <v>80495.793314790819</v>
      </c>
      <c r="AW7" s="274">
        <f t="shared" si="1"/>
        <v>80495.793314790819</v>
      </c>
      <c r="AX7" s="274">
        <f t="shared" si="1"/>
        <v>80495.793314790819</v>
      </c>
      <c r="AY7" s="274">
        <f t="shared" si="1"/>
        <v>80495.793314790819</v>
      </c>
      <c r="AZ7" s="275">
        <f t="shared" si="1"/>
        <v>80495.793314790819</v>
      </c>
    </row>
    <row r="8" spans="1:52">
      <c r="A8" s="434" t="s">
        <v>28</v>
      </c>
      <c r="B8" s="304"/>
      <c r="C8" s="273">
        <f>C7/2</f>
        <v>37.260506329113923</v>
      </c>
      <c r="D8" s="274">
        <f>(C7+D7)/2</f>
        <v>406.21976139240502</v>
      </c>
      <c r="E8" s="274">
        <f>(D7+E7)/2</f>
        <v>1846.5352756329114</v>
      </c>
      <c r="F8" s="274">
        <f t="shared" ref="F8:AF8" si="2">(E7+F7)/2</f>
        <v>5536.4882705696209</v>
      </c>
      <c r="G8" s="274">
        <f t="shared" si="2"/>
        <v>12111.478208623417</v>
      </c>
      <c r="H8" s="274">
        <f t="shared" si="2"/>
        <v>21374.676803124999</v>
      </c>
      <c r="I8" s="274">
        <f t="shared" si="2"/>
        <v>32249.961787143988</v>
      </c>
      <c r="J8" s="274">
        <f t="shared" si="2"/>
        <v>43001.675746439876</v>
      </c>
      <c r="K8" s="274">
        <f t="shared" si="2"/>
        <v>52635.847841787981</v>
      </c>
      <c r="L8" s="274">
        <f t="shared" si="2"/>
        <v>60301.282575767407</v>
      </c>
      <c r="M8" s="274">
        <f t="shared" si="2"/>
        <v>65748.070760680377</v>
      </c>
      <c r="N8" s="274">
        <f t="shared" si="2"/>
        <v>69455.561222903489</v>
      </c>
      <c r="O8" s="274">
        <f t="shared" si="2"/>
        <v>71565.582468417793</v>
      </c>
      <c r="P8" s="274">
        <f t="shared" si="2"/>
        <v>73046.392700649172</v>
      </c>
      <c r="Q8" s="274">
        <f t="shared" si="2"/>
        <v>74442.672289356356</v>
      </c>
      <c r="R8" s="274">
        <f t="shared" si="2"/>
        <v>75497.802732987911</v>
      </c>
      <c r="S8" s="274">
        <f t="shared" si="2"/>
        <v>76585.558576138515</v>
      </c>
      <c r="T8" s="274">
        <f t="shared" si="2"/>
        <v>77482.45000209265</v>
      </c>
      <c r="U8" s="274">
        <f t="shared" si="2"/>
        <v>78321.37460328493</v>
      </c>
      <c r="V8" s="274">
        <f t="shared" si="2"/>
        <v>79082.218618132552</v>
      </c>
      <c r="W8" s="274">
        <f t="shared" si="2"/>
        <v>79653.439492344478</v>
      </c>
      <c r="X8" s="274">
        <f t="shared" si="2"/>
        <v>80260.910033075226</v>
      </c>
      <c r="Y8" s="274">
        <f t="shared" si="2"/>
        <v>80495.793314790819</v>
      </c>
      <c r="Z8" s="274">
        <f t="shared" si="2"/>
        <v>80495.793314790819</v>
      </c>
      <c r="AA8" s="274">
        <f t="shared" si="2"/>
        <v>80495.793314790819</v>
      </c>
      <c r="AB8" s="274">
        <f t="shared" si="2"/>
        <v>80495.793314790819</v>
      </c>
      <c r="AC8" s="274">
        <f t="shared" si="2"/>
        <v>80495.793314790819</v>
      </c>
      <c r="AD8" s="274">
        <f t="shared" si="2"/>
        <v>80495.793314790819</v>
      </c>
      <c r="AE8" s="274">
        <f t="shared" si="2"/>
        <v>80495.793314790819</v>
      </c>
      <c r="AF8" s="274">
        <f t="shared" si="2"/>
        <v>80495.793314790819</v>
      </c>
      <c r="AG8" s="274">
        <f t="shared" ref="AG8" si="3">(AF7+AG7)/2</f>
        <v>80495.793314790819</v>
      </c>
      <c r="AH8" s="274">
        <f t="shared" ref="AH8" si="4">(AG7+AH7)/2</f>
        <v>80495.793314790819</v>
      </c>
      <c r="AI8" s="274">
        <f t="shared" ref="AI8" si="5">(AH7+AI7)/2</f>
        <v>80495.793314790819</v>
      </c>
      <c r="AJ8" s="274">
        <f t="shared" ref="AJ8" si="6">(AI7+AJ7)/2</f>
        <v>80495.793314790819</v>
      </c>
      <c r="AK8" s="274">
        <f t="shared" ref="AK8" si="7">(AJ7+AK7)/2</f>
        <v>80495.793314790819</v>
      </c>
      <c r="AL8" s="274">
        <f t="shared" ref="AL8" si="8">(AK7+AL7)/2</f>
        <v>80495.793314790819</v>
      </c>
      <c r="AM8" s="274">
        <f t="shared" ref="AM8" si="9">(AL7+AM7)/2</f>
        <v>80495.793314790819</v>
      </c>
      <c r="AN8" s="274">
        <f t="shared" ref="AN8" si="10">(AM7+AN7)/2</f>
        <v>80495.793314790819</v>
      </c>
      <c r="AO8" s="274">
        <f t="shared" ref="AO8" si="11">(AN7+AO7)/2</f>
        <v>80495.793314790819</v>
      </c>
      <c r="AP8" s="274">
        <f t="shared" ref="AP8" si="12">(AO7+AP7)/2</f>
        <v>80495.793314790819</v>
      </c>
      <c r="AQ8" s="274">
        <f t="shared" ref="AQ8" si="13">(AP7+AQ7)/2</f>
        <v>80495.793314790819</v>
      </c>
      <c r="AR8" s="274">
        <f t="shared" ref="AR8" si="14">(AQ7+AR7)/2</f>
        <v>80495.793314790819</v>
      </c>
      <c r="AS8" s="274">
        <f t="shared" ref="AS8" si="15">(AR7+AS7)/2</f>
        <v>80495.793314790819</v>
      </c>
      <c r="AT8" s="274">
        <f t="shared" ref="AT8" si="16">(AS7+AT7)/2</f>
        <v>80495.793314790819</v>
      </c>
      <c r="AU8" s="274">
        <f t="shared" ref="AU8" si="17">(AT7+AU7)/2</f>
        <v>80495.793314790819</v>
      </c>
      <c r="AV8" s="274">
        <f t="shared" ref="AV8" si="18">(AU7+AV7)/2</f>
        <v>80495.793314790819</v>
      </c>
      <c r="AW8" s="274">
        <f t="shared" ref="AW8" si="19">(AV7+AW7)/2</f>
        <v>80495.793314790819</v>
      </c>
      <c r="AX8" s="274">
        <f t="shared" ref="AX8" si="20">(AW7+AX7)/2</f>
        <v>80495.793314790819</v>
      </c>
      <c r="AY8" s="274">
        <f t="shared" ref="AY8" si="21">(AX7+AY7)/2</f>
        <v>80495.793314790819</v>
      </c>
      <c r="AZ8" s="275">
        <f t="shared" ref="AZ8" si="22">(AY7+AZ7)/2</f>
        <v>80495.793314790819</v>
      </c>
    </row>
    <row r="9" spans="1:52" s="350" customFormat="1">
      <c r="A9" s="440"/>
      <c r="B9" s="448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50"/>
      <c r="X9" s="450"/>
      <c r="Y9" s="450"/>
      <c r="Z9" s="450"/>
      <c r="AA9" s="450"/>
      <c r="AB9" s="450"/>
      <c r="AC9" s="450"/>
      <c r="AD9" s="450"/>
      <c r="AE9" s="450"/>
      <c r="AF9" s="449"/>
      <c r="AG9" s="449"/>
      <c r="AH9" s="449"/>
      <c r="AI9" s="449"/>
      <c r="AJ9" s="449"/>
      <c r="AK9" s="449"/>
      <c r="AL9" s="449"/>
      <c r="AM9" s="449"/>
      <c r="AN9" s="449"/>
      <c r="AO9" s="449"/>
      <c r="AP9" s="449"/>
      <c r="AQ9" s="449"/>
      <c r="AR9" s="449"/>
      <c r="AS9" s="449"/>
      <c r="AT9" s="449"/>
      <c r="AU9" s="449"/>
      <c r="AV9" s="449"/>
      <c r="AW9" s="449"/>
      <c r="AX9" s="449"/>
      <c r="AY9" s="449"/>
      <c r="AZ9" s="449"/>
    </row>
    <row r="10" spans="1:52" s="350" customFormat="1">
      <c r="A10" s="451" t="s">
        <v>60</v>
      </c>
      <c r="B10" s="301"/>
      <c r="C10" s="442">
        <f>SUM('Tableau de bord'!$C$46:C46)</f>
        <v>0.35000000000000009</v>
      </c>
      <c r="D10" s="443">
        <f>SUM('Tableau de bord'!$C$46:D46)</f>
        <v>0.35000000000000009</v>
      </c>
      <c r="E10" s="443">
        <f>SUM('Tableau de bord'!$C$46:E46)</f>
        <v>0.40000000000000008</v>
      </c>
      <c r="F10" s="443">
        <f>SUM('Tableau de bord'!$C$46:F46)</f>
        <v>0.45000000000000007</v>
      </c>
      <c r="G10" s="443">
        <f>SUM('Tableau de bord'!$C$46:G46)</f>
        <v>0.45000000000000007</v>
      </c>
      <c r="H10" s="443">
        <f>SUM('Tableau de bord'!$C$46:H46)</f>
        <v>0.55000000000000004</v>
      </c>
      <c r="I10" s="443">
        <f>SUM('Tableau de bord'!$C$46:I46)</f>
        <v>0.60000000000000009</v>
      </c>
      <c r="J10" s="443">
        <f>SUM('Tableau de bord'!$C$46:J46)</f>
        <v>0.65000000000000013</v>
      </c>
      <c r="K10" s="443">
        <f>SUM('Tableau de bord'!$C$46:K46)</f>
        <v>0.75000000000000011</v>
      </c>
      <c r="L10" s="443">
        <f>SUM('Tableau de bord'!$C$46:L46)</f>
        <v>0.80000000000000016</v>
      </c>
      <c r="M10" s="443">
        <f>SUM('Tableau de bord'!$C$46:M46)</f>
        <v>0.8500000000000002</v>
      </c>
      <c r="N10" s="443">
        <f>SUM('Tableau de bord'!$C$46:N46)</f>
        <v>0.8500000000000002</v>
      </c>
      <c r="O10" s="443">
        <f>SUM('Tableau de bord'!$C$46:O46)</f>
        <v>0.8500000000000002</v>
      </c>
      <c r="P10" s="443">
        <f>SUM('Tableau de bord'!$C$46:P46)</f>
        <v>0.90000000000000024</v>
      </c>
      <c r="Q10" s="443">
        <f>SUM('Tableau de bord'!$C$46:Q46)</f>
        <v>0.90000000000000024</v>
      </c>
      <c r="R10" s="443">
        <f>SUM('Tableau de bord'!$C$46:R46)</f>
        <v>0.90000000000000024</v>
      </c>
      <c r="S10" s="443">
        <f>SUM('Tableau de bord'!$C$46:S46)</f>
        <v>0.90000000000000024</v>
      </c>
      <c r="T10" s="443">
        <f>SUM('Tableau de bord'!$C$46:T46)</f>
        <v>0.90000000000000024</v>
      </c>
      <c r="U10" s="443">
        <f>SUM('Tableau de bord'!$C$46:U46)</f>
        <v>0.90000000000000024</v>
      </c>
      <c r="V10" s="443">
        <f>SUM('Tableau de bord'!$C$46:V46)</f>
        <v>0.90000000000000024</v>
      </c>
      <c r="W10" s="443">
        <f>SUM('Tableau de bord'!$C$46:W46)</f>
        <v>0.90000000000000024</v>
      </c>
      <c r="X10" s="443">
        <f>SUM('Tableau de bord'!$C$46:X46)</f>
        <v>0.90000000000000024</v>
      </c>
      <c r="Y10" s="443">
        <f>SUM('Tableau de bord'!$C$46:Y46)</f>
        <v>0.90000000000000024</v>
      </c>
      <c r="Z10" s="443">
        <f>SUM('Tableau de bord'!$C$46:Z46)</f>
        <v>0.90000000000000024</v>
      </c>
      <c r="AA10" s="443">
        <f>SUM('Tableau de bord'!$C$46:AA46)</f>
        <v>0.90000000000000024</v>
      </c>
      <c r="AB10" s="443">
        <f>SUM('Tableau de bord'!$C$46:AB46)</f>
        <v>0.90000000000000024</v>
      </c>
      <c r="AC10" s="443">
        <f>SUM('Tableau de bord'!$C$46:AC46)</f>
        <v>0.90000000000000024</v>
      </c>
      <c r="AD10" s="443">
        <f>SUM('Tableau de bord'!$C$46:AD46)</f>
        <v>0.90000000000000024</v>
      </c>
      <c r="AE10" s="443">
        <f>SUM('Tableau de bord'!$C$46:AE46)</f>
        <v>0.90000000000000024</v>
      </c>
      <c r="AF10" s="443">
        <f>SUM('Tableau de bord'!$C$46:AF46)</f>
        <v>0.90000000000000024</v>
      </c>
      <c r="AG10" s="443">
        <f>SUM('Tableau de bord'!$C$46:AG46)</f>
        <v>0.90000000000000024</v>
      </c>
      <c r="AH10" s="443">
        <f>SUM('Tableau de bord'!$C$46:AH46)</f>
        <v>0.90000000000000024</v>
      </c>
      <c r="AI10" s="443">
        <f>SUM('Tableau de bord'!$C$46:AI46)</f>
        <v>0.90000000000000024</v>
      </c>
      <c r="AJ10" s="443">
        <f>SUM('Tableau de bord'!$C$46:AJ46)</f>
        <v>0.90000000000000024</v>
      </c>
      <c r="AK10" s="443">
        <f>SUM('Tableau de bord'!$C$46:AK46)</f>
        <v>0.90000000000000024</v>
      </c>
      <c r="AL10" s="443">
        <f>SUM('Tableau de bord'!$C$46:AL46)</f>
        <v>0.90000000000000024</v>
      </c>
      <c r="AM10" s="443">
        <f>SUM('Tableau de bord'!$C$46:AM46)</f>
        <v>0.90000000000000024</v>
      </c>
      <c r="AN10" s="443">
        <f>SUM('Tableau de bord'!$C$46:AN46)</f>
        <v>0.90000000000000024</v>
      </c>
      <c r="AO10" s="443">
        <f>SUM('Tableau de bord'!$C$46:AO46)</f>
        <v>0.90000000000000024</v>
      </c>
      <c r="AP10" s="443">
        <f>SUM('Tableau de bord'!$C$46:AP46)</f>
        <v>0.90000000000000024</v>
      </c>
      <c r="AQ10" s="443">
        <f>SUM('Tableau de bord'!$C$46:AQ46)</f>
        <v>0.90000000000000024</v>
      </c>
      <c r="AR10" s="443">
        <f>SUM('Tableau de bord'!$C$46:AR46)</f>
        <v>0.90000000000000024</v>
      </c>
      <c r="AS10" s="443">
        <f>SUM('Tableau de bord'!$C$46:AS46)</f>
        <v>0.90000000000000024</v>
      </c>
      <c r="AT10" s="443">
        <f>SUM('Tableau de bord'!$C$46:AT46)</f>
        <v>0.90000000000000024</v>
      </c>
      <c r="AU10" s="443">
        <f>SUM('Tableau de bord'!$C$46:AU46)</f>
        <v>0.90000000000000024</v>
      </c>
      <c r="AV10" s="443">
        <f>SUM('Tableau de bord'!$C$46:AV46)</f>
        <v>0.90000000000000024</v>
      </c>
      <c r="AW10" s="443">
        <f>SUM('Tableau de bord'!$C$46:AW46)</f>
        <v>0.90000000000000024</v>
      </c>
      <c r="AX10" s="443">
        <f>SUM('Tableau de bord'!$C$46:AX46)</f>
        <v>0.90000000000000024</v>
      </c>
      <c r="AY10" s="443">
        <f>SUM('Tableau de bord'!$C$46:AY46)</f>
        <v>0.90000000000000024</v>
      </c>
      <c r="AZ10" s="444">
        <f>SUM('Tableau de bord'!$C$46:AZ46)</f>
        <v>0.90000000000000024</v>
      </c>
    </row>
    <row r="11" spans="1:52" s="350" customFormat="1">
      <c r="A11" s="451"/>
      <c r="B11" s="301"/>
      <c r="C11" s="442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4"/>
    </row>
    <row r="12" spans="1:52" s="456" customFormat="1">
      <c r="A12" s="452" t="s">
        <v>22</v>
      </c>
      <c r="B12" s="78"/>
      <c r="C12" s="453">
        <f>IF((C6*C10*'Tableau de bord'!$B$69)&gt;C8,0,C8-(C6*C10*'Tableau de bord'!$B$69))</f>
        <v>0</v>
      </c>
      <c r="D12" s="454">
        <f>IF((D6*D10*'Tableau de bord'!$B$69)&gt;D8,0,D8-(D6*D10*'Tableau de bord'!$B$69))</f>
        <v>0</v>
      </c>
      <c r="E12" s="454">
        <f>IF((E6*E10*'Tableau de bord'!$B$69)&gt;E8,0,E8-(E6*E10*'Tableau de bord'!$B$69))</f>
        <v>0</v>
      </c>
      <c r="F12" s="454">
        <f>IF((F6*F10*'Tableau de bord'!$B$69)&gt;F8,0,F8-(F6*F10*'Tableau de bord'!$B$69))</f>
        <v>0</v>
      </c>
      <c r="G12" s="454">
        <f>IF((G6*G10*'Tableau de bord'!$B$69)&gt;G8,0,G8-(G6*G10*'Tableau de bord'!$B$69))</f>
        <v>0</v>
      </c>
      <c r="H12" s="454">
        <f>IF((H6*H10*'Tableau de bord'!$B$69)&gt;H8,0,H8-(H6*H10*'Tableau de bord'!$B$69))</f>
        <v>0</v>
      </c>
      <c r="I12" s="454">
        <f>IF((I6*I10*'Tableau de bord'!$B$69)&gt;I8,0,I8-(I6*I10*'Tableau de bord'!$B$69))</f>
        <v>0</v>
      </c>
      <c r="J12" s="454">
        <f>IF((J6*J10*'Tableau de bord'!$B$69)&gt;J8,0,J8-(J6*J10*'Tableau de bord'!$B$69))</f>
        <v>0</v>
      </c>
      <c r="K12" s="454">
        <f>IF((K6*K10*'Tableau de bord'!$B$69)&gt;K8,0,K8-(K6*K10*'Tableau de bord'!$B$69))</f>
        <v>0</v>
      </c>
      <c r="L12" s="454">
        <f>IF((L6*L10*'Tableau de bord'!$B$69)&gt;L8,0,L8-(L6*L10*'Tableau de bord'!$B$69))</f>
        <v>0</v>
      </c>
      <c r="M12" s="454">
        <f>IF((M6*M10*'Tableau de bord'!$B$69)&gt;M8,0,M8-(M6*M10*'Tableau de bord'!$B$69))</f>
        <v>0</v>
      </c>
      <c r="N12" s="454">
        <f>IF((N6*N10*'Tableau de bord'!$B$69)&gt;N8,0,N8-(N6*N10*'Tableau de bord'!$B$69))</f>
        <v>0</v>
      </c>
      <c r="O12" s="454">
        <f>IF((O6*O10*'Tableau de bord'!$B$69)&gt;O8,0,O8-(O6*O10*'Tableau de bord'!$B$69))</f>
        <v>0</v>
      </c>
      <c r="P12" s="454">
        <f>IF((P6*P10*'Tableau de bord'!$B$69)&gt;P8,0,P8-(P6*P10*'Tableau de bord'!$B$69))</f>
        <v>0</v>
      </c>
      <c r="Q12" s="454">
        <f>IF((Q6*Q10*'Tableau de bord'!$B$69)&gt;Q8,0,Q8-(Q6*Q10*'Tableau de bord'!$B$69))</f>
        <v>0</v>
      </c>
      <c r="R12" s="454">
        <f>IF((R6*R10*'Tableau de bord'!$B$69)&gt;R8,0,R8-(R6*R10*'Tableau de bord'!$B$69))</f>
        <v>0</v>
      </c>
      <c r="S12" s="454">
        <f>IF((S6*S10*'Tableau de bord'!$B$69)&gt;S8,0,S8-(S6*S10*'Tableau de bord'!$B$69))</f>
        <v>0</v>
      </c>
      <c r="T12" s="454">
        <f>IF((T6*T10*'Tableau de bord'!$B$69)&gt;T8,0,T8-(T6*T10*'Tableau de bord'!$B$69))</f>
        <v>0</v>
      </c>
      <c r="U12" s="454">
        <f>IF((U6*U10*'Tableau de bord'!$B$69)&gt;U8,0,U8-(U6*U10*'Tableau de bord'!$B$69))</f>
        <v>0</v>
      </c>
      <c r="V12" s="454">
        <f>IF((V6*V10*'Tableau de bord'!$B$69)&gt;V8,0,V8-(V6*V10*'Tableau de bord'!$B$69))</f>
        <v>0</v>
      </c>
      <c r="W12" s="454">
        <f>IF((W6*W10*'Tableau de bord'!$B$69)&gt;W8,0,W8-(W6*W10*'Tableau de bord'!$B$69))</f>
        <v>0</v>
      </c>
      <c r="X12" s="454">
        <f>IF((X6*X10*'Tableau de bord'!$B$69)&gt;X8,0,X8-(X6*X10*'Tableau de bord'!$B$69))</f>
        <v>0</v>
      </c>
      <c r="Y12" s="454">
        <f>IF((Y6*Y10*'Tableau de bord'!$B$69)&gt;Y8,0,Y8-(Y6*Y10*'Tableau de bord'!$B$69))</f>
        <v>0</v>
      </c>
      <c r="Z12" s="454">
        <f>IF((Z6*Z10*'Tableau de bord'!$B$69)&gt;Z8,0,Z8-(Z6*Z10*'Tableau de bord'!$B$69))</f>
        <v>0</v>
      </c>
      <c r="AA12" s="454">
        <f>IF((AA6*AA10*'Tableau de bord'!$B$69)&gt;AA8,0,AA8-(AA6*AA10*'Tableau de bord'!$B$69))</f>
        <v>0</v>
      </c>
      <c r="AB12" s="454">
        <f>IF((AB6*AB10*'Tableau de bord'!$B$69)&gt;AB8,0,AB8-(AB6*AB10*'Tableau de bord'!$B$69))</f>
        <v>0</v>
      </c>
      <c r="AC12" s="454">
        <f>IF((AC6*AC10*'Tableau de bord'!$B$69)&gt;AC8,0,AC8-(AC6*AC10*'Tableau de bord'!$B$69))</f>
        <v>0</v>
      </c>
      <c r="AD12" s="454">
        <f>IF((AD6*AD10*'Tableau de bord'!$B$69)&gt;AD8,0,AD8-(AD6*AD10*'Tableau de bord'!$B$69))</f>
        <v>0</v>
      </c>
      <c r="AE12" s="454">
        <f>IF((AE6*AE10*'Tableau de bord'!$B$69)&gt;AE8,0,AE8-(AE6*AE10*'Tableau de bord'!$B$69))</f>
        <v>0</v>
      </c>
      <c r="AF12" s="454">
        <f>IF((AF6*AF10*'Tableau de bord'!$B$69)&gt;AF8,0,AF8-(AF6*AF10*'Tableau de bord'!$B$69))</f>
        <v>0</v>
      </c>
      <c r="AG12" s="454">
        <f>IF((AG6*AG10*'Tableau de bord'!$B$69)&gt;AG8,0,AG8-(AG6*AG10*'Tableau de bord'!$B$69))</f>
        <v>0</v>
      </c>
      <c r="AH12" s="454">
        <f>IF((AH6*AH10*'Tableau de bord'!$B$69)&gt;AH8,0,AH8-(AH6*AH10*'Tableau de bord'!$B$69))</f>
        <v>0</v>
      </c>
      <c r="AI12" s="454">
        <f>IF((AI6*AI10*'Tableau de bord'!$B$69)&gt;AI8,0,AI8-(AI6*AI10*'Tableau de bord'!$B$69))</f>
        <v>0</v>
      </c>
      <c r="AJ12" s="454">
        <f>IF((AJ6*AJ10*'Tableau de bord'!$B$69)&gt;AJ8,0,AJ8-(AJ6*AJ10*'Tableau de bord'!$B$69))</f>
        <v>0</v>
      </c>
      <c r="AK12" s="454">
        <f>IF((AK6*AK10*'Tableau de bord'!$B$69)&gt;AK8,0,AK8-(AK6*AK10*'Tableau de bord'!$B$69))</f>
        <v>0</v>
      </c>
      <c r="AL12" s="454">
        <f>IF((AL6*AL10*'Tableau de bord'!$B$69)&gt;AL8,0,AL8-(AL6*AL10*'Tableau de bord'!$B$69))</f>
        <v>0</v>
      </c>
      <c r="AM12" s="454">
        <f>IF((AM6*AM10*'Tableau de bord'!$B$69)&gt;AM8,0,AM8-(AM6*AM10*'Tableau de bord'!$B$69))</f>
        <v>0</v>
      </c>
      <c r="AN12" s="454">
        <f>IF((AN6*AN10*'Tableau de bord'!$B$69)&gt;AN8,0,AN8-(AN6*AN10*'Tableau de bord'!$B$69))</f>
        <v>0</v>
      </c>
      <c r="AO12" s="454">
        <f>IF((AO6*AO10*'Tableau de bord'!$B$69)&gt;AO8,0,AO8-(AO6*AO10*'Tableau de bord'!$B$69))</f>
        <v>0</v>
      </c>
      <c r="AP12" s="454">
        <f>IF((AP6*AP10*'Tableau de bord'!$B$69)&gt;AP8,0,AP8-(AP6*AP10*'Tableau de bord'!$B$69))</f>
        <v>0</v>
      </c>
      <c r="AQ12" s="454">
        <f>IF((AQ6*AQ10*'Tableau de bord'!$B$69)&gt;AQ8,0,AQ8-(AQ6*AQ10*'Tableau de bord'!$B$69))</f>
        <v>0</v>
      </c>
      <c r="AR12" s="454">
        <f>IF((AR6*AR10*'Tableau de bord'!$B$69)&gt;AR8,0,AR8-(AR6*AR10*'Tableau de bord'!$B$69))</f>
        <v>0</v>
      </c>
      <c r="AS12" s="454">
        <f>IF((AS6*AS10*'Tableau de bord'!$B$69)&gt;AS8,0,AS8-(AS6*AS10*'Tableau de bord'!$B$69))</f>
        <v>0</v>
      </c>
      <c r="AT12" s="454">
        <f>IF((AT6*AT10*'Tableau de bord'!$B$69)&gt;AT8,0,AT8-(AT6*AT10*'Tableau de bord'!$B$69))</f>
        <v>0</v>
      </c>
      <c r="AU12" s="454">
        <f>IF((AU6*AU10*'Tableau de bord'!$B$69)&gt;AU8,0,AU8-(AU6*AU10*'Tableau de bord'!$B$69))</f>
        <v>0</v>
      </c>
      <c r="AV12" s="454">
        <f>IF((AV6*AV10*'Tableau de bord'!$B$69)&gt;AV8,0,AV8-(AV6*AV10*'Tableau de bord'!$B$69))</f>
        <v>0</v>
      </c>
      <c r="AW12" s="454">
        <f>IF((AW6*AW10*'Tableau de bord'!$B$69)&gt;AW8,0,AW8-(AW6*AW10*'Tableau de bord'!$B$69))</f>
        <v>0</v>
      </c>
      <c r="AX12" s="454">
        <f>IF((AX6*AX10*'Tableau de bord'!$B$69)&gt;AX8,0,AX8-(AX6*AX10*'Tableau de bord'!$B$69))</f>
        <v>0</v>
      </c>
      <c r="AY12" s="454">
        <f>IF((AY6*AY10*'Tableau de bord'!$B$69)&gt;AY8,0,AY8-(AY6*AY10*'Tableau de bord'!$B$69))</f>
        <v>0</v>
      </c>
      <c r="AZ12" s="455">
        <f>IF((AZ6*AZ10*'Tableau de bord'!$B$69)&gt;AZ8,0,AZ8-(AZ6*AZ10*'Tableau de bord'!$B$69))</f>
        <v>0</v>
      </c>
    </row>
    <row r="13" spans="1:52" s="456" customFormat="1">
      <c r="A13" s="452" t="s">
        <v>176</v>
      </c>
      <c r="B13" s="78"/>
      <c r="C13" s="453">
        <f>C8-C12</f>
        <v>37.260506329113923</v>
      </c>
      <c r="D13" s="454">
        <f t="shared" ref="D13:AY13" si="23">D8-D12</f>
        <v>406.21976139240502</v>
      </c>
      <c r="E13" s="454">
        <f t="shared" si="23"/>
        <v>1846.5352756329114</v>
      </c>
      <c r="F13" s="454">
        <f t="shared" si="23"/>
        <v>5536.4882705696209</v>
      </c>
      <c r="G13" s="454">
        <f t="shared" si="23"/>
        <v>12111.478208623417</v>
      </c>
      <c r="H13" s="454">
        <f t="shared" si="23"/>
        <v>21374.676803124999</v>
      </c>
      <c r="I13" s="454">
        <f t="shared" si="23"/>
        <v>32249.961787143988</v>
      </c>
      <c r="J13" s="454">
        <f t="shared" si="23"/>
        <v>43001.675746439876</v>
      </c>
      <c r="K13" s="454">
        <f t="shared" si="23"/>
        <v>52635.847841787981</v>
      </c>
      <c r="L13" s="454">
        <f t="shared" si="23"/>
        <v>60301.282575767407</v>
      </c>
      <c r="M13" s="454">
        <f t="shared" si="23"/>
        <v>65748.070760680377</v>
      </c>
      <c r="N13" s="454">
        <f t="shared" si="23"/>
        <v>69455.561222903489</v>
      </c>
      <c r="O13" s="454">
        <f t="shared" si="23"/>
        <v>71565.582468417793</v>
      </c>
      <c r="P13" s="454">
        <f t="shared" si="23"/>
        <v>73046.392700649172</v>
      </c>
      <c r="Q13" s="454">
        <f t="shared" si="23"/>
        <v>74442.672289356356</v>
      </c>
      <c r="R13" s="454">
        <f t="shared" si="23"/>
        <v>75497.802732987911</v>
      </c>
      <c r="S13" s="454">
        <f t="shared" si="23"/>
        <v>76585.558576138515</v>
      </c>
      <c r="T13" s="454">
        <f t="shared" si="23"/>
        <v>77482.45000209265</v>
      </c>
      <c r="U13" s="454">
        <f t="shared" si="23"/>
        <v>78321.37460328493</v>
      </c>
      <c r="V13" s="454">
        <f t="shared" si="23"/>
        <v>79082.218618132552</v>
      </c>
      <c r="W13" s="454">
        <f t="shared" si="23"/>
        <v>79653.439492344478</v>
      </c>
      <c r="X13" s="454">
        <f t="shared" si="23"/>
        <v>80260.910033075226</v>
      </c>
      <c r="Y13" s="454">
        <f t="shared" si="23"/>
        <v>80495.793314790819</v>
      </c>
      <c r="Z13" s="454">
        <f t="shared" si="23"/>
        <v>80495.793314790819</v>
      </c>
      <c r="AA13" s="454">
        <f t="shared" si="23"/>
        <v>80495.793314790819</v>
      </c>
      <c r="AB13" s="454">
        <f t="shared" si="23"/>
        <v>80495.793314790819</v>
      </c>
      <c r="AC13" s="454">
        <f t="shared" si="23"/>
        <v>80495.793314790819</v>
      </c>
      <c r="AD13" s="454">
        <f t="shared" si="23"/>
        <v>80495.793314790819</v>
      </c>
      <c r="AE13" s="454">
        <f t="shared" si="23"/>
        <v>80495.793314790819</v>
      </c>
      <c r="AF13" s="454">
        <f t="shared" si="23"/>
        <v>80495.793314790819</v>
      </c>
      <c r="AG13" s="454">
        <f t="shared" si="23"/>
        <v>80495.793314790819</v>
      </c>
      <c r="AH13" s="454">
        <f t="shared" si="23"/>
        <v>80495.793314790819</v>
      </c>
      <c r="AI13" s="454">
        <f t="shared" si="23"/>
        <v>80495.793314790819</v>
      </c>
      <c r="AJ13" s="454">
        <f t="shared" si="23"/>
        <v>80495.793314790819</v>
      </c>
      <c r="AK13" s="454">
        <f t="shared" si="23"/>
        <v>80495.793314790819</v>
      </c>
      <c r="AL13" s="454">
        <f t="shared" si="23"/>
        <v>80495.793314790819</v>
      </c>
      <c r="AM13" s="454">
        <f t="shared" si="23"/>
        <v>80495.793314790819</v>
      </c>
      <c r="AN13" s="454">
        <f t="shared" si="23"/>
        <v>80495.793314790819</v>
      </c>
      <c r="AO13" s="454">
        <f t="shared" si="23"/>
        <v>80495.793314790819</v>
      </c>
      <c r="AP13" s="454">
        <f t="shared" si="23"/>
        <v>80495.793314790819</v>
      </c>
      <c r="AQ13" s="454">
        <f t="shared" si="23"/>
        <v>80495.793314790819</v>
      </c>
      <c r="AR13" s="454">
        <f t="shared" si="23"/>
        <v>80495.793314790819</v>
      </c>
      <c r="AS13" s="454">
        <f t="shared" si="23"/>
        <v>80495.793314790819</v>
      </c>
      <c r="AT13" s="454">
        <f t="shared" si="23"/>
        <v>80495.793314790819</v>
      </c>
      <c r="AU13" s="454">
        <f t="shared" si="23"/>
        <v>80495.793314790819</v>
      </c>
      <c r="AV13" s="454">
        <f t="shared" si="23"/>
        <v>80495.793314790819</v>
      </c>
      <c r="AW13" s="454">
        <f t="shared" si="23"/>
        <v>80495.793314790819</v>
      </c>
      <c r="AX13" s="454">
        <f t="shared" si="23"/>
        <v>80495.793314790819</v>
      </c>
      <c r="AY13" s="454">
        <f t="shared" si="23"/>
        <v>80495.793314790819</v>
      </c>
      <c r="AZ13" s="455">
        <f>AZ8-AZ12</f>
        <v>80495.793314790819</v>
      </c>
    </row>
    <row r="14" spans="1:52" s="350" customFormat="1">
      <c r="A14" s="457"/>
      <c r="B14" s="336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</row>
    <row r="15" spans="1:52" s="464" customFormat="1">
      <c r="A15" s="459" t="s">
        <v>68</v>
      </c>
      <c r="B15" s="460"/>
      <c r="C15" s="461">
        <f ca="1">C13*'Calcul de la réserve'!$C$15*$C$3*12</f>
        <v>953.00455896912683</v>
      </c>
      <c r="D15" s="462">
        <f ca="1">D13*'Calcul de la réserve'!$C$15*$C$3*12</f>
        <v>10389.802036796933</v>
      </c>
      <c r="E15" s="462">
        <f ca="1">E13*'Calcul de la réserve'!$C$15*$C$3*12</f>
        <v>47228.46545433205</v>
      </c>
      <c r="F15" s="462">
        <f ca="1">F13*'Calcul de la réserve'!$C$15*$C$3*12</f>
        <v>141605.65924487312</v>
      </c>
      <c r="G15" s="462">
        <f ca="1">G13*'Calcul de la réserve'!$C$15*$C$3*12</f>
        <v>309772.86907275987</v>
      </c>
      <c r="H15" s="462">
        <f ca="1">H13*'Calcul de la réserve'!$C$15*$C$3*12</f>
        <v>546695.85700056097</v>
      </c>
      <c r="I15" s="462">
        <f ca="1">I13*'Calcul de la réserve'!$C$15*$C$3*12</f>
        <v>824850.85785626317</v>
      </c>
      <c r="J15" s="462">
        <f ca="1">J13*'Calcul de la réserve'!$C$15*$C$3*12</f>
        <v>1099845.3071918809</v>
      </c>
      <c r="K15" s="462">
        <f ca="1">K13*'Calcul de la réserve'!$C$15*$C$3*12</f>
        <v>1346256.6105612582</v>
      </c>
      <c r="L15" s="462">
        <f ca="1">L13*'Calcul de la réserve'!$C$15*$C$3*12</f>
        <v>1542313.9100364048</v>
      </c>
      <c r="M15" s="462">
        <f ca="1">M13*'Calcul de la réserve'!$C$15*$C$3*12</f>
        <v>1681625.3280324973</v>
      </c>
      <c r="N15" s="462">
        <f ca="1">N13*'Calcul de la réserve'!$C$15*$C$3*12</f>
        <v>1776451.0741354814</v>
      </c>
      <c r="O15" s="462">
        <f ca="1">O13*'Calcul de la réserve'!$C$15*$C$3*12</f>
        <v>1830418.6678320174</v>
      </c>
      <c r="P15" s="462">
        <f ca="1">P13*'Calcul de la réserve'!$C$15*$C$3*12</f>
        <v>1868293.0565968843</v>
      </c>
      <c r="Q15" s="462">
        <f ca="1">Q13*'Calcul de la réserve'!$C$15*$C$3*12</f>
        <v>1904005.421906149</v>
      </c>
      <c r="R15" s="462">
        <f ca="1">R13*'Calcul de la réserve'!$C$15*$C$3*12</f>
        <v>1930992.2833890887</v>
      </c>
      <c r="S15" s="462">
        <f ca="1">S13*'Calcul de la réserve'!$C$15*$C$3*12</f>
        <v>1958813.5982260755</v>
      </c>
      <c r="T15" s="462">
        <f ca="1">T13*'Calcul de la réserve'!$C$15*$C$3*12</f>
        <v>1981753.2118288768</v>
      </c>
      <c r="U15" s="462">
        <f ca="1">U13*'Calcul de la réserve'!$C$15*$C$3*12</f>
        <v>2003210.2194848063</v>
      </c>
      <c r="V15" s="462">
        <f ca="1">V13*'Calcul de la réserve'!$C$15*$C$3*12</f>
        <v>2022670.1755146473</v>
      </c>
      <c r="W15" s="462">
        <f ca="1">W13*'Calcul de la réserve'!$C$15*$C$3*12</f>
        <v>2037280.1781939971</v>
      </c>
      <c r="X15" s="462">
        <f ca="1">X13*'Calcul de la réserve'!$C$15*$C$3*12</f>
        <v>2052817.3313835526</v>
      </c>
      <c r="Y15" s="462">
        <f ca="1">Y13*'Calcul de la réserve'!$C$15*$C$3*12</f>
        <v>2058824.8943598422</v>
      </c>
      <c r="Z15" s="462">
        <f ca="1">Z13*'Calcul de la réserve'!$C$15*$C$3*12</f>
        <v>2058824.8943598422</v>
      </c>
      <c r="AA15" s="462">
        <f ca="1">AA13*'Calcul de la réserve'!$C$15*$C$3*12</f>
        <v>2058824.8943598422</v>
      </c>
      <c r="AB15" s="462">
        <f ca="1">AB13*'Calcul de la réserve'!$C$15*$C$3*12</f>
        <v>2058824.8943598422</v>
      </c>
      <c r="AC15" s="462">
        <f ca="1">AC13*'Calcul de la réserve'!$C$15*$C$3*12</f>
        <v>2058824.8943598422</v>
      </c>
      <c r="AD15" s="462">
        <f ca="1">AD13*'Calcul de la réserve'!$C$15*$C$3*12</f>
        <v>2058824.8943598422</v>
      </c>
      <c r="AE15" s="462">
        <f ca="1">AE13*'Calcul de la réserve'!$C$15*$C$3*12</f>
        <v>2058824.8943598422</v>
      </c>
      <c r="AF15" s="462">
        <f ca="1">AF13*'Calcul de la réserve'!$C$15*$C$3*12</f>
        <v>2058824.8943598422</v>
      </c>
      <c r="AG15" s="462">
        <f ca="1">AG13*'Calcul de la réserve'!$C$15*$C$3*12</f>
        <v>2058824.8943598422</v>
      </c>
      <c r="AH15" s="462">
        <f ca="1">AH13*'Calcul de la réserve'!$C$15*$C$3*12</f>
        <v>2058824.8943598422</v>
      </c>
      <c r="AI15" s="462">
        <f ca="1">AI13*'Calcul de la réserve'!$C$15*$C$3*12</f>
        <v>2058824.8943598422</v>
      </c>
      <c r="AJ15" s="462">
        <f ca="1">AJ13*'Calcul de la réserve'!$C$15*$C$3*12</f>
        <v>2058824.8943598422</v>
      </c>
      <c r="AK15" s="462">
        <f ca="1">AK13*'Calcul de la réserve'!$C$15*$C$3*12</f>
        <v>2058824.8943598422</v>
      </c>
      <c r="AL15" s="462">
        <f ca="1">AL13*'Calcul de la réserve'!$C$15*$C$3*12</f>
        <v>2058824.8943598422</v>
      </c>
      <c r="AM15" s="462">
        <f ca="1">AM13*'Calcul de la réserve'!$C$15*$C$3*12</f>
        <v>2058824.8943598422</v>
      </c>
      <c r="AN15" s="462">
        <f ca="1">AN13*'Calcul de la réserve'!$C$15*$C$3*12</f>
        <v>2058824.8943598422</v>
      </c>
      <c r="AO15" s="462">
        <f ca="1">AO13*'Calcul de la réserve'!$C$15*$C$3*12</f>
        <v>2058824.8943598422</v>
      </c>
      <c r="AP15" s="462">
        <f ca="1">AP13*'Calcul de la réserve'!$C$15*$C$3*12</f>
        <v>2058824.8943598422</v>
      </c>
      <c r="AQ15" s="462">
        <f ca="1">AQ13*'Calcul de la réserve'!$C$15*$C$3*12</f>
        <v>2058824.8943598422</v>
      </c>
      <c r="AR15" s="462">
        <f ca="1">AR13*'Calcul de la réserve'!$C$15*$C$3*12</f>
        <v>2058824.8943598422</v>
      </c>
      <c r="AS15" s="462">
        <f ca="1">AS13*'Calcul de la réserve'!$C$15*$C$3*12</f>
        <v>2058824.8943598422</v>
      </c>
      <c r="AT15" s="462">
        <f ca="1">AT13*'Calcul de la réserve'!$C$15*$C$3*12</f>
        <v>2058824.8943598422</v>
      </c>
      <c r="AU15" s="462">
        <f ca="1">AU13*'Calcul de la réserve'!$C$15*$C$3*12</f>
        <v>2058824.8943598422</v>
      </c>
      <c r="AV15" s="462">
        <f ca="1">AV13*'Calcul de la réserve'!$C$15*$C$3*12</f>
        <v>2058824.8943598422</v>
      </c>
      <c r="AW15" s="462">
        <f ca="1">AW13*'Calcul de la réserve'!$C$15*$C$3*12</f>
        <v>2058824.8943598422</v>
      </c>
      <c r="AX15" s="462">
        <f ca="1">AX13*'Calcul de la réserve'!$C$15*$C$3*12</f>
        <v>2058824.8943598422</v>
      </c>
      <c r="AY15" s="462">
        <f ca="1">AY13*'Calcul de la réserve'!$C$15*$C$3*12</f>
        <v>2058824.8943598422</v>
      </c>
      <c r="AZ15" s="463">
        <f ca="1">AZ13*'Calcul de la réserve'!$C$15*$C$3*12</f>
        <v>2058824.8943598422</v>
      </c>
    </row>
    <row r="16" spans="1:52" s="350" customFormat="1">
      <c r="A16" s="459" t="s">
        <v>64</v>
      </c>
      <c r="B16" s="336"/>
      <c r="C16" s="461">
        <f ca="1">'Calcul charges d''exploitation'!$C$8*C8*12*'Revenus récurrents'!$C$3</f>
        <v>373.5612920127075</v>
      </c>
      <c r="D16" s="465">
        <f ca="1">'Calcul charges d''exploitation'!$C$8*D8*12*'Revenus récurrents'!$C$3</f>
        <v>4072.6225662765769</v>
      </c>
      <c r="E16" s="465">
        <f ca="1">'Calcul charges d''exploitation'!$C$8*E8*12*'Revenus récurrents'!$C$3</f>
        <v>18512.741003025309</v>
      </c>
      <c r="F16" s="465">
        <f ca="1">'Calcul charges d''exploitation'!$C$8*F8*12*'Revenus récurrents'!$C$3</f>
        <v>55506.967438903601</v>
      </c>
      <c r="G16" s="465">
        <f ca="1">'Calcul charges d''exploitation'!$C$8*G8*12*'Revenus récurrents'!$C$3</f>
        <v>121425.60296508747</v>
      </c>
      <c r="H16" s="465">
        <f ca="1">'Calcul charges d''exploitation'!$C$8*H8*12*'Revenus récurrents'!$C$3</f>
        <v>214295.3134453368</v>
      </c>
      <c r="I16" s="465">
        <f ca="1">'Calcul charges d''exploitation'!$C$8*I8*12*'Revenus récurrents'!$C$3</f>
        <v>323327.25932799868</v>
      </c>
      <c r="J16" s="465">
        <f ca="1">'Calcul charges d''exploitation'!$C$8*J8*12*'Revenus récurrents'!$C$3</f>
        <v>431120.32371927233</v>
      </c>
      <c r="K16" s="465">
        <f ca="1">'Calcul charges d''exploitation'!$C$8*K8*12*'Revenus récurrents'!$C$3</f>
        <v>527709.28962387482</v>
      </c>
      <c r="L16" s="465">
        <f ca="1">'Calcul charges d''exploitation'!$C$8*L8*12*'Revenus récurrents'!$C$3</f>
        <v>604560.35755547183</v>
      </c>
      <c r="M16" s="465">
        <f ca="1">'Calcul charges d''exploitation'!$C$8*M8*12*'Revenus récurrents'!$C$3</f>
        <v>659168.02213478542</v>
      </c>
      <c r="N16" s="465">
        <f ca="1">'Calcul charges d''exploitation'!$C$8*N8*12*'Revenus récurrents'!$C$3</f>
        <v>696338.07331336231</v>
      </c>
      <c r="O16" s="465">
        <f ca="1">'Calcul charges d''exploitation'!$C$8*O8*12*'Revenus récurrents'!$C$3</f>
        <v>717492.43594296242</v>
      </c>
      <c r="P16" s="465">
        <f ca="1">'Calcul charges d''exploitation'!$C$8*P8*12*'Revenus récurrents'!$C$3</f>
        <v>732338.54078898707</v>
      </c>
      <c r="Q16" s="465">
        <f ca="1">'Calcul charges d''exploitation'!$C$8*Q8*12*'Revenus récurrents'!$C$3</f>
        <v>746337.16986185277</v>
      </c>
      <c r="R16" s="465">
        <f ca="1">'Calcul charges d''exploitation'!$C$8*R8*12*'Revenus récurrents'!$C$3</f>
        <v>756915.55246039969</v>
      </c>
      <c r="S16" s="465">
        <f ca="1">'Calcul charges d''exploitation'!$C$8*S8*12*'Revenus récurrents'!$C$3</f>
        <v>767821.02633057651</v>
      </c>
      <c r="T16" s="465">
        <f ca="1">'Calcul charges d''exploitation'!$C$8*T8*12*'Revenus récurrents'!$C$3</f>
        <v>776812.95781200018</v>
      </c>
      <c r="U16" s="465">
        <f ca="1">'Calcul charges d''exploitation'!$C$8*U8*12*'Revenus récurrents'!$C$3</f>
        <v>785223.73342397204</v>
      </c>
      <c r="V16" s="465">
        <f ca="1">'Calcul charges d''exploitation'!$C$8*V8*12*'Revenus récurrents'!$C$3</f>
        <v>792851.69936453504</v>
      </c>
      <c r="W16" s="465">
        <f ca="1">'Calcul charges d''exploitation'!$C$8*W8*12*'Revenus récurrents'!$C$3</f>
        <v>798578.56753724441</v>
      </c>
      <c r="X16" s="465">
        <f ca="1">'Calcul charges d''exploitation'!$C$8*X8*12*'Revenus récurrents'!$C$3</f>
        <v>804668.86266234622</v>
      </c>
      <c r="Y16" s="465">
        <f ca="1">'Calcul charges d''exploitation'!$C$8*Y8*12*'Revenus récurrents'!$C$3</f>
        <v>807023.72336699814</v>
      </c>
      <c r="Z16" s="465">
        <f ca="1">'Calcul charges d''exploitation'!$C$8*Z8*12*'Revenus récurrents'!$C$3</f>
        <v>807023.72336699814</v>
      </c>
      <c r="AA16" s="465">
        <f ca="1">'Calcul charges d''exploitation'!$C$8*AA8*12*'Revenus récurrents'!$C$3</f>
        <v>807023.72336699814</v>
      </c>
      <c r="AB16" s="465">
        <f ca="1">'Calcul charges d''exploitation'!$C$8*AB8*12*'Revenus récurrents'!$C$3</f>
        <v>807023.72336699814</v>
      </c>
      <c r="AC16" s="465">
        <f ca="1">'Calcul charges d''exploitation'!$C$8*AC8*12*'Revenus récurrents'!$C$3</f>
        <v>807023.72336699814</v>
      </c>
      <c r="AD16" s="465">
        <f ca="1">'Calcul charges d''exploitation'!$C$8*AD8*12*'Revenus récurrents'!$C$3</f>
        <v>807023.72336699814</v>
      </c>
      <c r="AE16" s="465">
        <f ca="1">'Calcul charges d''exploitation'!$C$8*AE8*12*'Revenus récurrents'!$C$3</f>
        <v>807023.72336699814</v>
      </c>
      <c r="AF16" s="465">
        <f ca="1">'Calcul charges d''exploitation'!$C$8*AF8*12*'Revenus récurrents'!$C$3</f>
        <v>807023.72336699814</v>
      </c>
      <c r="AG16" s="465">
        <f ca="1">'Calcul charges d''exploitation'!$C$8*AG8*12*'Revenus récurrents'!$C$3</f>
        <v>807023.72336699814</v>
      </c>
      <c r="AH16" s="465">
        <f ca="1">'Calcul charges d''exploitation'!$C$8*AH8*12*'Revenus récurrents'!$C$3</f>
        <v>807023.72336699814</v>
      </c>
      <c r="AI16" s="465">
        <f ca="1">'Calcul charges d''exploitation'!$C$8*AI8*12*'Revenus récurrents'!$C$3</f>
        <v>807023.72336699814</v>
      </c>
      <c r="AJ16" s="465">
        <f ca="1">'Calcul charges d''exploitation'!$C$8*AJ8*12*'Revenus récurrents'!$C$3</f>
        <v>807023.72336699814</v>
      </c>
      <c r="AK16" s="465">
        <f ca="1">'Calcul charges d''exploitation'!$C$8*AK8*12*'Revenus récurrents'!$C$3</f>
        <v>807023.72336699814</v>
      </c>
      <c r="AL16" s="465">
        <f ca="1">'Calcul charges d''exploitation'!$C$8*AL8*12*'Revenus récurrents'!$C$3</f>
        <v>807023.72336699814</v>
      </c>
      <c r="AM16" s="465">
        <f ca="1">'Calcul charges d''exploitation'!$C$8*AM8*12*'Revenus récurrents'!$C$3</f>
        <v>807023.72336699814</v>
      </c>
      <c r="AN16" s="465">
        <f ca="1">'Calcul charges d''exploitation'!$C$8*AN8*12*'Revenus récurrents'!$C$3</f>
        <v>807023.72336699814</v>
      </c>
      <c r="AO16" s="465">
        <f ca="1">'Calcul charges d''exploitation'!$C$8*AO8*12*'Revenus récurrents'!$C$3</f>
        <v>807023.72336699814</v>
      </c>
      <c r="AP16" s="465">
        <f ca="1">'Calcul charges d''exploitation'!$C$8*AP8*12*'Revenus récurrents'!$C$3</f>
        <v>807023.72336699814</v>
      </c>
      <c r="AQ16" s="465">
        <f ca="1">'Calcul charges d''exploitation'!$C$8*AQ8*12*'Revenus récurrents'!$C$3</f>
        <v>807023.72336699814</v>
      </c>
      <c r="AR16" s="465">
        <f ca="1">'Calcul charges d''exploitation'!$C$8*AR8*12*'Revenus récurrents'!$C$3</f>
        <v>807023.72336699814</v>
      </c>
      <c r="AS16" s="465">
        <f ca="1">'Calcul charges d''exploitation'!$C$8*AS8*12*'Revenus récurrents'!$C$3</f>
        <v>807023.72336699814</v>
      </c>
      <c r="AT16" s="465">
        <f ca="1">'Calcul charges d''exploitation'!$C$8*AT8*12*'Revenus récurrents'!$C$3</f>
        <v>807023.72336699814</v>
      </c>
      <c r="AU16" s="465">
        <f ca="1">'Calcul charges d''exploitation'!$C$8*AU8*12*'Revenus récurrents'!$C$3</f>
        <v>807023.72336699814</v>
      </c>
      <c r="AV16" s="465">
        <f ca="1">'Calcul charges d''exploitation'!$C$8*AV8*12*'Revenus récurrents'!$C$3</f>
        <v>807023.72336699814</v>
      </c>
      <c r="AW16" s="465">
        <f ca="1">'Calcul charges d''exploitation'!$C$8*AW8*12*'Revenus récurrents'!$C$3</f>
        <v>807023.72336699814</v>
      </c>
      <c r="AX16" s="465">
        <f ca="1">'Calcul charges d''exploitation'!$C$8*AX8*12*'Revenus récurrents'!$C$3</f>
        <v>807023.72336699814</v>
      </c>
      <c r="AY16" s="465">
        <f ca="1">'Calcul charges d''exploitation'!$C$8*AY8*12*'Revenus récurrents'!$C$3</f>
        <v>807023.72336699814</v>
      </c>
      <c r="AZ16" s="466">
        <f ca="1">'Calcul charges d''exploitation'!$C$8*AZ8*12*'Revenus récurrents'!$C$3</f>
        <v>807023.72336699814</v>
      </c>
    </row>
    <row r="17" spans="1:52" s="350" customFormat="1">
      <c r="A17" s="459" t="s">
        <v>65</v>
      </c>
      <c r="B17" s="336"/>
      <c r="C17" s="461">
        <f ca="1">'Calcul du coût du GC'!$C$10*C8*12*'Revenus récurrents'!$C$3</f>
        <v>1041.0082741944341</v>
      </c>
      <c r="D17" s="465">
        <f ca="1">'Calcul du coût du GC'!$C$10*D8*12*'Revenus récurrents'!$C$3</f>
        <v>11349.232053252097</v>
      </c>
      <c r="E17" s="465">
        <f ca="1">'Calcul du coût du GC'!$C$10*E8*12*'Revenus récurrents'!$C$3</f>
        <v>51589.704217835126</v>
      </c>
      <c r="F17" s="465">
        <f ca="1">'Calcul du coût du GC'!$C$10*F8*12*'Revenus récurrents'!$C$3</f>
        <v>154682.01233594102</v>
      </c>
      <c r="G17" s="465">
        <f ca="1">'Calcul du coût du GC'!$C$10*G8*12*'Revenus récurrents'!$C$3</f>
        <v>338378.3600935943</v>
      </c>
      <c r="H17" s="465">
        <f ca="1">'Calcul du coût du GC'!$C$10*H8*12*'Revenus récurrents'!$C$3</f>
        <v>597179.63072602486</v>
      </c>
      <c r="I17" s="465">
        <f ca="1">'Calcul du coût du GC'!$C$10*I8*12*'Revenus récurrents'!$C$3</f>
        <v>901020.42002147925</v>
      </c>
      <c r="J17" s="465">
        <f ca="1">'Calcul du coût du GC'!$C$10*J8*12*'Revenus récurrents'!$C$3</f>
        <v>1201408.8016107366</v>
      </c>
      <c r="K17" s="465">
        <f ca="1">'Calcul du coût du GC'!$C$10*K8*12*'Revenus récurrents'!$C$3</f>
        <v>1470574.5713317466</v>
      </c>
      <c r="L17" s="465">
        <f ca="1">'Calcul du coût du GC'!$C$10*L8*12*'Revenus récurrents'!$C$3</f>
        <v>1684736.47543703</v>
      </c>
      <c r="M17" s="465">
        <f ca="1">'Calcul du coût du GC'!$C$10*M8*12*'Revenus récurrents'!$C$3</f>
        <v>1836912.3884049233</v>
      </c>
      <c r="N17" s="465">
        <f ca="1">'Calcul du coût du GC'!$C$10*N8*12*'Revenus récurrents'!$C$3</f>
        <v>1940494.6696970998</v>
      </c>
      <c r="O17" s="465">
        <f ca="1">'Calcul du coût du GC'!$C$10*O8*12*'Revenus récurrents'!$C$3</f>
        <v>1999445.816412735</v>
      </c>
      <c r="P17" s="465">
        <f ca="1">'Calcul du coût du GC'!$C$10*P8*12*'Revenus récurrents'!$C$3</f>
        <v>2040817.656361677</v>
      </c>
      <c r="Q17" s="465">
        <f ca="1">'Calcul du coût du GC'!$C$10*Q8*12*'Revenus récurrents'!$C$3</f>
        <v>2079827.8241810349</v>
      </c>
      <c r="R17" s="465">
        <f ca="1">'Calcul du coût du GC'!$C$10*R8*12*'Revenus récurrents'!$C$3</f>
        <v>2109306.7451724182</v>
      </c>
      <c r="S17" s="465">
        <f ca="1">'Calcul du coût du GC'!$C$10*S8*12*'Revenus récurrents'!$C$3</f>
        <v>2139697.1758075044</v>
      </c>
      <c r="T17" s="465">
        <f ca="1">'Calcul du coût du GC'!$C$10*T8*12*'Revenus récurrents'!$C$3</f>
        <v>2164755.1121443156</v>
      </c>
      <c r="U17" s="465">
        <f ca="1">'Calcul du coût du GC'!$C$10*U8*12*'Revenus récurrents'!$C$3</f>
        <v>2188193.5336073125</v>
      </c>
      <c r="V17" s="465">
        <f ca="1">'Calcul du coût du GC'!$C$10*V8*12*'Revenus récurrents'!$C$3</f>
        <v>2209450.4888357716</v>
      </c>
      <c r="W17" s="465">
        <f ca="1">'Calcul du coût du GC'!$C$10*W8*12*'Revenus récurrents'!$C$3</f>
        <v>2225409.6293583084</v>
      </c>
      <c r="X17" s="465">
        <f ca="1">'Calcul du coût du GC'!$C$10*X8*12*'Revenus récurrents'!$C$3</f>
        <v>2242381.5366545855</v>
      </c>
      <c r="Y17" s="465">
        <f ca="1">'Calcul du coût du GC'!$C$10*Y8*12*'Revenus récurrents'!$C$3</f>
        <v>2248943.8586363681</v>
      </c>
      <c r="Z17" s="465">
        <f ca="1">'Calcul du coût du GC'!$C$10*Z8*12*'Revenus récurrents'!$C$3</f>
        <v>2248943.8586363681</v>
      </c>
      <c r="AA17" s="465">
        <f ca="1">'Calcul du coût du GC'!$C$10*AA8*12*'Revenus récurrents'!$C$3</f>
        <v>2248943.8586363681</v>
      </c>
      <c r="AB17" s="465">
        <f ca="1">'Calcul du coût du GC'!$C$10*AB8*12*'Revenus récurrents'!$C$3</f>
        <v>2248943.8586363681</v>
      </c>
      <c r="AC17" s="465">
        <f ca="1">'Calcul du coût du GC'!$C$10*AC8*12*'Revenus récurrents'!$C$3</f>
        <v>2248943.8586363681</v>
      </c>
      <c r="AD17" s="465">
        <f ca="1">'Calcul du coût du GC'!$C$10*AD8*12*'Revenus récurrents'!$C$3</f>
        <v>2248943.8586363681</v>
      </c>
      <c r="AE17" s="465">
        <f ca="1">'Calcul du coût du GC'!$C$10*AE8*12*'Revenus récurrents'!$C$3</f>
        <v>2248943.8586363681</v>
      </c>
      <c r="AF17" s="465">
        <f ca="1">'Calcul du coût du GC'!$C$10*AF8*12*'Revenus récurrents'!$C$3</f>
        <v>2248943.8586363681</v>
      </c>
      <c r="AG17" s="465">
        <f ca="1">'Calcul du coût du GC'!$C$10*AG8*12*'Revenus récurrents'!$C$3</f>
        <v>2248943.8586363681</v>
      </c>
      <c r="AH17" s="465">
        <f ca="1">'Calcul du coût du GC'!$C$10*AH8*12*'Revenus récurrents'!$C$3</f>
        <v>2248943.8586363681</v>
      </c>
      <c r="AI17" s="465">
        <f ca="1">'Calcul du coût du GC'!$C$10*AI8*12*'Revenus récurrents'!$C$3</f>
        <v>2248943.8586363681</v>
      </c>
      <c r="AJ17" s="465">
        <f ca="1">'Calcul du coût du GC'!$C$10*AJ8*12*'Revenus récurrents'!$C$3</f>
        <v>2248943.8586363681</v>
      </c>
      <c r="AK17" s="465">
        <f ca="1">'Calcul du coût du GC'!$C$10*AK8*12*'Revenus récurrents'!$C$3</f>
        <v>2248943.8586363681</v>
      </c>
      <c r="AL17" s="465">
        <f ca="1">'Calcul du coût du GC'!$C$10*AL8*12*'Revenus récurrents'!$C$3</f>
        <v>2248943.8586363681</v>
      </c>
      <c r="AM17" s="465">
        <f ca="1">'Calcul du coût du GC'!$C$10*AM8*12*'Revenus récurrents'!$C$3</f>
        <v>2248943.8586363681</v>
      </c>
      <c r="AN17" s="465">
        <f ca="1">'Calcul du coût du GC'!$C$10*AN8*12*'Revenus récurrents'!$C$3</f>
        <v>2248943.8586363681</v>
      </c>
      <c r="AO17" s="465">
        <f ca="1">'Calcul du coût du GC'!$C$10*AO8*12*'Revenus récurrents'!$C$3</f>
        <v>2248943.8586363681</v>
      </c>
      <c r="AP17" s="465">
        <f ca="1">'Calcul du coût du GC'!$C$10*AP8*12*'Revenus récurrents'!$C$3</f>
        <v>2248943.8586363681</v>
      </c>
      <c r="AQ17" s="465">
        <f ca="1">'Calcul du coût du GC'!$C$10*AQ8*12*'Revenus récurrents'!$C$3</f>
        <v>2248943.8586363681</v>
      </c>
      <c r="AR17" s="465">
        <f ca="1">'Calcul du coût du GC'!$C$10*AR8*12*'Revenus récurrents'!$C$3</f>
        <v>2248943.8586363681</v>
      </c>
      <c r="AS17" s="465">
        <f ca="1">'Calcul du coût du GC'!$C$10*AS8*12*'Revenus récurrents'!$C$3</f>
        <v>2248943.8586363681</v>
      </c>
      <c r="AT17" s="465">
        <f ca="1">'Calcul du coût du GC'!$C$10*AT8*12*'Revenus récurrents'!$C$3</f>
        <v>2248943.8586363681</v>
      </c>
      <c r="AU17" s="465">
        <f ca="1">'Calcul du coût du GC'!$C$10*AU8*12*'Revenus récurrents'!$C$3</f>
        <v>2248943.8586363681</v>
      </c>
      <c r="AV17" s="465">
        <f ca="1">'Calcul du coût du GC'!$C$10*AV8*12*'Revenus récurrents'!$C$3</f>
        <v>2248943.8586363681</v>
      </c>
      <c r="AW17" s="465">
        <f ca="1">'Calcul du coût du GC'!$C$10*AW8*12*'Revenus récurrents'!$C$3</f>
        <v>2248943.8586363681</v>
      </c>
      <c r="AX17" s="465">
        <f ca="1">'Calcul du coût du GC'!$C$10*AX8*12*'Revenus récurrents'!$C$3</f>
        <v>2248943.8586363681</v>
      </c>
      <c r="AY17" s="465">
        <f ca="1">'Calcul du coût du GC'!$C$10*AY8*12*'Revenus récurrents'!$C$3</f>
        <v>2248943.8586363681</v>
      </c>
      <c r="AZ17" s="466">
        <f ca="1">'Calcul du coût du GC'!$C$10*AZ8*12*'Revenus récurrents'!$C$3</f>
        <v>2248943.8586363681</v>
      </c>
    </row>
    <row r="18" spans="1:52" s="350" customFormat="1">
      <c r="A18" s="459" t="s">
        <v>80</v>
      </c>
      <c r="B18" s="336"/>
      <c r="C18" s="461">
        <f ca="1">'Calcul location'!$C$31*C12*12*$C$3</f>
        <v>0</v>
      </c>
      <c r="D18" s="465">
        <f ca="1">'Calcul location'!$C$31*D12*12*$C$3</f>
        <v>0</v>
      </c>
      <c r="E18" s="465">
        <f ca="1">'Calcul location'!$C$31*E12*12*$C$3</f>
        <v>0</v>
      </c>
      <c r="F18" s="465">
        <f ca="1">'Calcul location'!$C$31*F12*12*$C$3</f>
        <v>0</v>
      </c>
      <c r="G18" s="465">
        <f ca="1">'Calcul location'!$C$31*G12*12*$C$3</f>
        <v>0</v>
      </c>
      <c r="H18" s="465">
        <f ca="1">'Calcul location'!$C$31*H12*12*$C$3</f>
        <v>0</v>
      </c>
      <c r="I18" s="465">
        <f ca="1">'Calcul location'!$C$31*I12*12*$C$3</f>
        <v>0</v>
      </c>
      <c r="J18" s="465">
        <f ca="1">'Calcul location'!$C$31*J12*12*$C$3</f>
        <v>0</v>
      </c>
      <c r="K18" s="465">
        <f ca="1">'Calcul location'!$C$31*K12*12*$C$3</f>
        <v>0</v>
      </c>
      <c r="L18" s="465">
        <f ca="1">'Calcul location'!$C$31*L12*12*$C$3</f>
        <v>0</v>
      </c>
      <c r="M18" s="465">
        <f ca="1">'Calcul location'!$C$31*M12*12*$C$3</f>
        <v>0</v>
      </c>
      <c r="N18" s="465">
        <f ca="1">'Calcul location'!$C$31*N12*12*$C$3</f>
        <v>0</v>
      </c>
      <c r="O18" s="465">
        <f ca="1">'Calcul location'!$C$31*O12*12*$C$3</f>
        <v>0</v>
      </c>
      <c r="P18" s="465">
        <f ca="1">'Calcul location'!$C$31*P12*12*$C$3</f>
        <v>0</v>
      </c>
      <c r="Q18" s="465">
        <f ca="1">'Calcul location'!$C$31*Q12*12*$C$3</f>
        <v>0</v>
      </c>
      <c r="R18" s="465">
        <f ca="1">'Calcul location'!$C$31*R12*12*$C$3</f>
        <v>0</v>
      </c>
      <c r="S18" s="465">
        <f ca="1">'Calcul location'!$C$31*S12*12*$C$3</f>
        <v>0</v>
      </c>
      <c r="T18" s="465">
        <f ca="1">'Calcul location'!$C$31*T12*12*$C$3</f>
        <v>0</v>
      </c>
      <c r="U18" s="465">
        <f ca="1">'Calcul location'!$C$31*U12*12*$C$3</f>
        <v>0</v>
      </c>
      <c r="V18" s="465">
        <f ca="1">'Calcul location'!$C$31*V12*12*$C$3</f>
        <v>0</v>
      </c>
      <c r="W18" s="465">
        <f ca="1">'Calcul location'!$C$31*W12*12*$C$3</f>
        <v>0</v>
      </c>
      <c r="X18" s="465">
        <f ca="1">'Calcul location'!$C$31*X12*12*$C$3</f>
        <v>0</v>
      </c>
      <c r="Y18" s="465">
        <f ca="1">'Calcul location'!$C$31*Y12*12*$C$3</f>
        <v>0</v>
      </c>
      <c r="Z18" s="465">
        <f ca="1">'Calcul location'!$C$31*Z12*12*$C$3</f>
        <v>0</v>
      </c>
      <c r="AA18" s="465">
        <f ca="1">'Calcul location'!$C$31*AA12*12*$C$3</f>
        <v>0</v>
      </c>
      <c r="AB18" s="465">
        <f ca="1">'Calcul location'!$C$31*AB12*12*$C$3</f>
        <v>0</v>
      </c>
      <c r="AC18" s="465">
        <f ca="1">'Calcul location'!$C$31*AC12*12*$C$3</f>
        <v>0</v>
      </c>
      <c r="AD18" s="465">
        <f ca="1">'Calcul location'!$C$31*AD12*12*$C$3</f>
        <v>0</v>
      </c>
      <c r="AE18" s="465">
        <f ca="1">'Calcul location'!$C$31*AE12*12*$C$3</f>
        <v>0</v>
      </c>
      <c r="AF18" s="465">
        <f ca="1">'Calcul location'!$C$31*AF12*12*$C$3</f>
        <v>0</v>
      </c>
      <c r="AG18" s="465">
        <f ca="1">'Calcul location'!$C$31*AG12*12*$C$3</f>
        <v>0</v>
      </c>
      <c r="AH18" s="465">
        <f ca="1">'Calcul location'!$C$31*AH12*12*$C$3</f>
        <v>0</v>
      </c>
      <c r="AI18" s="465">
        <f ca="1">'Calcul location'!$C$31*AI12*12*$C$3</f>
        <v>0</v>
      </c>
      <c r="AJ18" s="465">
        <f ca="1">'Calcul location'!$C$31*AJ12*12*$C$3</f>
        <v>0</v>
      </c>
      <c r="AK18" s="465">
        <f ca="1">'Calcul location'!$C$31*AK12*12*$C$3</f>
        <v>0</v>
      </c>
      <c r="AL18" s="465">
        <f ca="1">'Calcul location'!$C$31*AL12*12*$C$3</f>
        <v>0</v>
      </c>
      <c r="AM18" s="465">
        <f ca="1">'Calcul location'!$C$31*AM12*12*$C$3</f>
        <v>0</v>
      </c>
      <c r="AN18" s="465">
        <f ca="1">'Calcul location'!$C$31*AN12*12*$C$3</f>
        <v>0</v>
      </c>
      <c r="AO18" s="465">
        <f ca="1">'Calcul location'!$C$31*AO12*12*$C$3</f>
        <v>0</v>
      </c>
      <c r="AP18" s="465">
        <f ca="1">'Calcul location'!$C$31*AP12*12*$C$3</f>
        <v>0</v>
      </c>
      <c r="AQ18" s="465">
        <f ca="1">'Calcul location'!$C$31*AQ12*12*$C$3</f>
        <v>0</v>
      </c>
      <c r="AR18" s="465">
        <f ca="1">'Calcul location'!$C$31*AR12*12*$C$3</f>
        <v>0</v>
      </c>
      <c r="AS18" s="465">
        <f ca="1">'Calcul location'!$C$31*AS12*12*$C$3</f>
        <v>0</v>
      </c>
      <c r="AT18" s="465">
        <f ca="1">'Calcul location'!$C$31*AT12*12*$C$3</f>
        <v>0</v>
      </c>
      <c r="AU18" s="465">
        <f ca="1">'Calcul location'!$C$31*AU12*12*$C$3</f>
        <v>0</v>
      </c>
      <c r="AV18" s="465">
        <f ca="1">'Calcul location'!$C$31*AV12*12*$C$3</f>
        <v>0</v>
      </c>
      <c r="AW18" s="465">
        <f ca="1">'Calcul location'!$C$31*AW12*12*$C$3</f>
        <v>0</v>
      </c>
      <c r="AX18" s="465">
        <f ca="1">'Calcul location'!$C$31*AX12*12*$C$3</f>
        <v>0</v>
      </c>
      <c r="AY18" s="465">
        <f ca="1">'Calcul location'!$C$31*AY12*12*$C$3</f>
        <v>0</v>
      </c>
      <c r="AZ18" s="466">
        <f ca="1">'Calcul location'!$C$31*AZ12*12*$C$3</f>
        <v>0</v>
      </c>
    </row>
    <row r="19" spans="1:52" s="350" customFormat="1">
      <c r="A19" s="457"/>
      <c r="B19" s="336"/>
      <c r="F19" s="467"/>
    </row>
    <row r="20" spans="1:52">
      <c r="A20" s="459" t="s">
        <v>181</v>
      </c>
      <c r="C20" s="610">
        <f>C10*C6</f>
        <v>1120.0000000000002</v>
      </c>
      <c r="D20" s="611">
        <f t="shared" ref="D20:AX20" si="24">D10*D6</f>
        <v>3780.0000000000009</v>
      </c>
      <c r="E20" s="611">
        <f t="shared" si="24"/>
        <v>8760.0000000000018</v>
      </c>
      <c r="F20" s="611">
        <f t="shared" si="24"/>
        <v>15997.500000000002</v>
      </c>
      <c r="G20" s="611">
        <f t="shared" si="24"/>
        <v>22635.000000000004</v>
      </c>
      <c r="H20" s="611">
        <f t="shared" si="24"/>
        <v>35502.5</v>
      </c>
      <c r="I20" s="611">
        <f t="shared" si="24"/>
        <v>45990.000000000007</v>
      </c>
      <c r="J20" s="611">
        <f t="shared" si="24"/>
        <v>56420.000000000015</v>
      </c>
      <c r="K20" s="611">
        <f t="shared" si="24"/>
        <v>70350.000000000015</v>
      </c>
      <c r="L20" s="611">
        <f t="shared" si="24"/>
        <v>77960.000000000015</v>
      </c>
      <c r="M20" s="611">
        <f t="shared" si="24"/>
        <v>84277.500000000015</v>
      </c>
      <c r="N20" s="611">
        <f t="shared" si="24"/>
        <v>84872.500000000015</v>
      </c>
      <c r="O20" s="611">
        <f t="shared" si="24"/>
        <v>85000.000000000015</v>
      </c>
      <c r="P20" s="611">
        <f t="shared" si="24"/>
        <v>90000.000000000029</v>
      </c>
      <c r="Q20" s="611">
        <f t="shared" si="24"/>
        <v>90000.000000000029</v>
      </c>
      <c r="R20" s="611">
        <f t="shared" si="24"/>
        <v>90000.000000000029</v>
      </c>
      <c r="S20" s="611">
        <f t="shared" si="24"/>
        <v>90000.000000000029</v>
      </c>
      <c r="T20" s="611">
        <f t="shared" si="24"/>
        <v>90000.000000000029</v>
      </c>
      <c r="U20" s="611">
        <f t="shared" si="24"/>
        <v>90000.000000000029</v>
      </c>
      <c r="V20" s="611">
        <f t="shared" si="24"/>
        <v>90000.000000000029</v>
      </c>
      <c r="W20" s="611">
        <f t="shared" si="24"/>
        <v>90000.000000000029</v>
      </c>
      <c r="X20" s="611">
        <f t="shared" si="24"/>
        <v>90000.000000000029</v>
      </c>
      <c r="Y20" s="611">
        <f t="shared" si="24"/>
        <v>90000.000000000029</v>
      </c>
      <c r="Z20" s="611">
        <f t="shared" si="24"/>
        <v>90000.000000000029</v>
      </c>
      <c r="AA20" s="611">
        <f t="shared" si="24"/>
        <v>90000.000000000029</v>
      </c>
      <c r="AB20" s="611">
        <f t="shared" si="24"/>
        <v>90000.000000000029</v>
      </c>
      <c r="AC20" s="611">
        <f t="shared" si="24"/>
        <v>90000.000000000029</v>
      </c>
      <c r="AD20" s="611">
        <f t="shared" si="24"/>
        <v>90000.000000000029</v>
      </c>
      <c r="AE20" s="611">
        <f t="shared" si="24"/>
        <v>90000.000000000029</v>
      </c>
      <c r="AF20" s="611">
        <f t="shared" si="24"/>
        <v>90000.000000000029</v>
      </c>
      <c r="AG20" s="611">
        <f t="shared" si="24"/>
        <v>90000.000000000029</v>
      </c>
      <c r="AH20" s="611">
        <f t="shared" si="24"/>
        <v>90000.000000000029</v>
      </c>
      <c r="AI20" s="611">
        <f t="shared" si="24"/>
        <v>90000.000000000029</v>
      </c>
      <c r="AJ20" s="611">
        <f t="shared" si="24"/>
        <v>90000.000000000029</v>
      </c>
      <c r="AK20" s="611">
        <f t="shared" si="24"/>
        <v>90000.000000000029</v>
      </c>
      <c r="AL20" s="611">
        <f t="shared" si="24"/>
        <v>90000.000000000029</v>
      </c>
      <c r="AM20" s="611">
        <f t="shared" si="24"/>
        <v>90000.000000000029</v>
      </c>
      <c r="AN20" s="611">
        <f t="shared" si="24"/>
        <v>90000.000000000029</v>
      </c>
      <c r="AO20" s="611">
        <f t="shared" si="24"/>
        <v>90000.000000000029</v>
      </c>
      <c r="AP20" s="611">
        <f t="shared" si="24"/>
        <v>90000.000000000029</v>
      </c>
      <c r="AQ20" s="611">
        <f t="shared" si="24"/>
        <v>90000.000000000029</v>
      </c>
      <c r="AR20" s="611">
        <f t="shared" si="24"/>
        <v>90000.000000000029</v>
      </c>
      <c r="AS20" s="611">
        <f t="shared" si="24"/>
        <v>90000.000000000029</v>
      </c>
      <c r="AT20" s="611">
        <f t="shared" si="24"/>
        <v>90000.000000000029</v>
      </c>
      <c r="AU20" s="611">
        <f t="shared" si="24"/>
        <v>90000.000000000029</v>
      </c>
      <c r="AV20" s="611">
        <f t="shared" si="24"/>
        <v>90000.000000000029</v>
      </c>
      <c r="AW20" s="611">
        <f t="shared" si="24"/>
        <v>90000.000000000029</v>
      </c>
      <c r="AX20" s="611">
        <f t="shared" si="24"/>
        <v>90000.000000000029</v>
      </c>
      <c r="AY20" s="611">
        <f t="shared" ref="AY20:AZ20" si="25">AY10*AY6</f>
        <v>90000.000000000029</v>
      </c>
      <c r="AZ20" s="612">
        <f t="shared" si="25"/>
        <v>90000.000000000029</v>
      </c>
    </row>
    <row r="21" spans="1:52">
      <c r="A21" s="459" t="s">
        <v>177</v>
      </c>
      <c r="C21" s="613">
        <f>IFERROR(C13/C20,0)</f>
        <v>3.3268309222423138E-2</v>
      </c>
      <c r="D21" s="614">
        <f t="shared" ref="D21:AZ21" si="26">IFERROR(D13/D20,0)</f>
        <v>0.10746554534190607</v>
      </c>
      <c r="E21" s="614">
        <f t="shared" si="26"/>
        <v>0.21079169813161086</v>
      </c>
      <c r="F21" s="614">
        <f t="shared" si="26"/>
        <v>0.34608459262819941</v>
      </c>
      <c r="G21" s="614">
        <f t="shared" si="26"/>
        <v>0.53507745564936671</v>
      </c>
      <c r="H21" s="614">
        <f t="shared" si="26"/>
        <v>0.60206117324484187</v>
      </c>
      <c r="I21" s="614">
        <f t="shared" si="26"/>
        <v>0.70123856897464631</v>
      </c>
      <c r="J21" s="614">
        <f t="shared" si="26"/>
        <v>0.76217078600566934</v>
      </c>
      <c r="K21" s="614">
        <f t="shared" si="26"/>
        <v>0.74819968502896905</v>
      </c>
      <c r="L21" s="614">
        <f t="shared" si="26"/>
        <v>0.77349002790876598</v>
      </c>
      <c r="M21" s="614">
        <f t="shared" si="26"/>
        <v>0.78013788686992813</v>
      </c>
      <c r="N21" s="614">
        <f t="shared" si="26"/>
        <v>0.81835177734723819</v>
      </c>
      <c r="O21" s="614">
        <f t="shared" si="26"/>
        <v>0.84194802904020916</v>
      </c>
      <c r="P21" s="614">
        <f t="shared" si="26"/>
        <v>0.81162658556276834</v>
      </c>
      <c r="Q21" s="614">
        <f t="shared" si="26"/>
        <v>0.82714080321507033</v>
      </c>
      <c r="R21" s="614">
        <f t="shared" si="26"/>
        <v>0.83886447481097648</v>
      </c>
      <c r="S21" s="614">
        <f t="shared" si="26"/>
        <v>0.8509506508459832</v>
      </c>
      <c r="T21" s="614">
        <f t="shared" si="26"/>
        <v>0.86091611113436251</v>
      </c>
      <c r="U21" s="614">
        <f t="shared" si="26"/>
        <v>0.87023749559205454</v>
      </c>
      <c r="V21" s="614">
        <f t="shared" si="26"/>
        <v>0.87869131797925026</v>
      </c>
      <c r="W21" s="614">
        <f t="shared" si="26"/>
        <v>0.88503821658160498</v>
      </c>
      <c r="X21" s="614">
        <f t="shared" si="26"/>
        <v>0.89178788925639108</v>
      </c>
      <c r="Y21" s="614">
        <f t="shared" si="26"/>
        <v>0.89439770349767544</v>
      </c>
      <c r="Z21" s="614">
        <f t="shared" si="26"/>
        <v>0.89439770349767544</v>
      </c>
      <c r="AA21" s="614">
        <f t="shared" si="26"/>
        <v>0.89439770349767544</v>
      </c>
      <c r="AB21" s="614">
        <f t="shared" si="26"/>
        <v>0.89439770349767544</v>
      </c>
      <c r="AC21" s="614">
        <f t="shared" si="26"/>
        <v>0.89439770349767544</v>
      </c>
      <c r="AD21" s="614">
        <f t="shared" si="26"/>
        <v>0.89439770349767544</v>
      </c>
      <c r="AE21" s="614">
        <f t="shared" si="26"/>
        <v>0.89439770349767544</v>
      </c>
      <c r="AF21" s="614">
        <f t="shared" si="26"/>
        <v>0.89439770349767544</v>
      </c>
      <c r="AG21" s="614">
        <f t="shared" si="26"/>
        <v>0.89439770349767544</v>
      </c>
      <c r="AH21" s="614">
        <f t="shared" si="26"/>
        <v>0.89439770349767544</v>
      </c>
      <c r="AI21" s="614">
        <f t="shared" si="26"/>
        <v>0.89439770349767544</v>
      </c>
      <c r="AJ21" s="614">
        <f t="shared" si="26"/>
        <v>0.89439770349767544</v>
      </c>
      <c r="AK21" s="614">
        <f t="shared" si="26"/>
        <v>0.89439770349767544</v>
      </c>
      <c r="AL21" s="614">
        <f t="shared" si="26"/>
        <v>0.89439770349767544</v>
      </c>
      <c r="AM21" s="614">
        <f t="shared" si="26"/>
        <v>0.89439770349767544</v>
      </c>
      <c r="AN21" s="614">
        <f t="shared" si="26"/>
        <v>0.89439770349767544</v>
      </c>
      <c r="AO21" s="614">
        <f t="shared" si="26"/>
        <v>0.89439770349767544</v>
      </c>
      <c r="AP21" s="614">
        <f t="shared" si="26"/>
        <v>0.89439770349767544</v>
      </c>
      <c r="AQ21" s="614">
        <f t="shared" si="26"/>
        <v>0.89439770349767544</v>
      </c>
      <c r="AR21" s="614">
        <f t="shared" si="26"/>
        <v>0.89439770349767544</v>
      </c>
      <c r="AS21" s="614">
        <f t="shared" si="26"/>
        <v>0.89439770349767544</v>
      </c>
      <c r="AT21" s="614">
        <f t="shared" si="26"/>
        <v>0.89439770349767544</v>
      </c>
      <c r="AU21" s="614">
        <f t="shared" si="26"/>
        <v>0.89439770349767544</v>
      </c>
      <c r="AV21" s="614">
        <f t="shared" si="26"/>
        <v>0.89439770349767544</v>
      </c>
      <c r="AW21" s="614">
        <f t="shared" si="26"/>
        <v>0.89439770349767544</v>
      </c>
      <c r="AX21" s="614">
        <f t="shared" si="26"/>
        <v>0.89439770349767544</v>
      </c>
      <c r="AY21" s="614">
        <f t="shared" si="26"/>
        <v>0.89439770349767544</v>
      </c>
      <c r="AZ21" s="615">
        <f t="shared" si="26"/>
        <v>0.89439770349767544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B050"/>
  </sheetPr>
  <dimension ref="A1:AZ4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2.75" outlineLevelRow="1"/>
  <cols>
    <col min="1" max="1" width="50.85546875" style="412" bestFit="1" customWidth="1"/>
    <col min="2" max="2" width="25.28515625" style="201" bestFit="1" customWidth="1"/>
    <col min="3" max="52" width="21.140625" style="259" customWidth="1"/>
    <col min="53" max="16384" width="11.42578125" style="259"/>
  </cols>
  <sheetData>
    <row r="1" spans="1:52" s="67" customFormat="1">
      <c r="B1" s="258" t="s">
        <v>92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</row>
    <row r="2" spans="1:52" s="55" customFormat="1">
      <c r="A2" s="53" t="s">
        <v>7</v>
      </c>
      <c r="B2" s="201"/>
      <c r="C2" s="55">
        <v>1</v>
      </c>
      <c r="D2" s="55">
        <v>2</v>
      </c>
      <c r="E2" s="55">
        <v>3</v>
      </c>
      <c r="F2" s="55">
        <v>4</v>
      </c>
      <c r="G2" s="55">
        <v>5</v>
      </c>
      <c r="H2" s="55">
        <v>6</v>
      </c>
      <c r="I2" s="55">
        <v>7</v>
      </c>
      <c r="J2" s="55">
        <v>8</v>
      </c>
      <c r="K2" s="55">
        <v>9</v>
      </c>
      <c r="L2" s="55">
        <v>10</v>
      </c>
      <c r="M2" s="55">
        <v>11</v>
      </c>
      <c r="N2" s="55">
        <v>12</v>
      </c>
      <c r="O2" s="55">
        <v>13</v>
      </c>
      <c r="P2" s="55">
        <v>14</v>
      </c>
      <c r="Q2" s="55">
        <v>15</v>
      </c>
      <c r="R2" s="55">
        <v>16</v>
      </c>
      <c r="S2" s="55">
        <v>17</v>
      </c>
      <c r="T2" s="55">
        <v>18</v>
      </c>
      <c r="U2" s="55">
        <v>19</v>
      </c>
      <c r="V2" s="55">
        <v>20</v>
      </c>
      <c r="W2" s="55">
        <v>21</v>
      </c>
      <c r="X2" s="55">
        <v>22</v>
      </c>
      <c r="Y2" s="55">
        <v>23</v>
      </c>
      <c r="Z2" s="55">
        <v>24</v>
      </c>
      <c r="AA2" s="55">
        <v>25</v>
      </c>
      <c r="AB2" s="55">
        <v>26</v>
      </c>
      <c r="AC2" s="55">
        <v>27</v>
      </c>
      <c r="AD2" s="55">
        <v>28</v>
      </c>
      <c r="AE2" s="55">
        <v>29</v>
      </c>
      <c r="AF2" s="55">
        <v>30</v>
      </c>
      <c r="AG2" s="55">
        <v>31</v>
      </c>
      <c r="AH2" s="55">
        <v>32</v>
      </c>
      <c r="AI2" s="55">
        <v>33</v>
      </c>
      <c r="AJ2" s="55">
        <v>34</v>
      </c>
      <c r="AK2" s="55">
        <v>35</v>
      </c>
      <c r="AL2" s="55">
        <v>36</v>
      </c>
      <c r="AM2" s="55">
        <v>37</v>
      </c>
      <c r="AN2" s="55">
        <v>38</v>
      </c>
      <c r="AO2" s="55">
        <v>39</v>
      </c>
      <c r="AP2" s="55">
        <v>40</v>
      </c>
      <c r="AQ2" s="55">
        <v>41</v>
      </c>
      <c r="AR2" s="55">
        <v>42</v>
      </c>
      <c r="AS2" s="55">
        <v>43</v>
      </c>
      <c r="AT2" s="55">
        <v>44</v>
      </c>
      <c r="AU2" s="55">
        <v>45</v>
      </c>
      <c r="AV2" s="55">
        <v>46</v>
      </c>
      <c r="AW2" s="55">
        <v>47</v>
      </c>
      <c r="AX2" s="55">
        <v>48</v>
      </c>
      <c r="AY2" s="55">
        <v>49</v>
      </c>
      <c r="AZ2" s="55">
        <v>50</v>
      </c>
    </row>
    <row r="3" spans="1:52" s="399" customFormat="1">
      <c r="A3" s="61" t="s">
        <v>111</v>
      </c>
      <c r="B3" s="318" t="str">
        <f>'Tableau de bord'!B79</f>
        <v>Régulation asymétrique 2014</v>
      </c>
      <c r="C3" s="396">
        <f>'Tableau de bord'!C79</f>
        <v>9.5000000000000001E-2</v>
      </c>
      <c r="D3" s="397">
        <f>'Tableau de bord'!D79</f>
        <v>9.5000000000000001E-2</v>
      </c>
      <c r="E3" s="397">
        <f>'Tableau de bord'!E79</f>
        <v>9.5000000000000001E-2</v>
      </c>
      <c r="F3" s="397">
        <f>'Tableau de bord'!F79</f>
        <v>9.5000000000000001E-2</v>
      </c>
      <c r="G3" s="397">
        <f>'Tableau de bord'!G79</f>
        <v>9.5000000000000001E-2</v>
      </c>
      <c r="H3" s="397">
        <f>'Tableau de bord'!H79</f>
        <v>9.5000000000000001E-2</v>
      </c>
      <c r="I3" s="397">
        <f>'Tableau de bord'!I79</f>
        <v>9.5000000000000001E-2</v>
      </c>
      <c r="J3" s="397">
        <f>'Tableau de bord'!J79</f>
        <v>9.5000000000000001E-2</v>
      </c>
      <c r="K3" s="397">
        <f>'Tableau de bord'!K79</f>
        <v>9.5000000000000001E-2</v>
      </c>
      <c r="L3" s="397">
        <f>'Tableau de bord'!L79</f>
        <v>9.5000000000000001E-2</v>
      </c>
      <c r="M3" s="397">
        <f>'Tableau de bord'!M79</f>
        <v>9.5000000000000001E-2</v>
      </c>
      <c r="N3" s="397">
        <f>'Tableau de bord'!N79</f>
        <v>9.5000000000000001E-2</v>
      </c>
      <c r="O3" s="397">
        <f>'Tableau de bord'!O79</f>
        <v>9.5000000000000001E-2</v>
      </c>
      <c r="P3" s="397">
        <f>'Tableau de bord'!P79</f>
        <v>9.5000000000000001E-2</v>
      </c>
      <c r="Q3" s="397">
        <f>'Tableau de bord'!Q79</f>
        <v>9.5000000000000001E-2</v>
      </c>
      <c r="R3" s="397">
        <f>'Tableau de bord'!R79</f>
        <v>9.5000000000000001E-2</v>
      </c>
      <c r="S3" s="397">
        <f>'Tableau de bord'!S79</f>
        <v>9.5000000000000001E-2</v>
      </c>
      <c r="T3" s="397">
        <f>'Tableau de bord'!T79</f>
        <v>9.5000000000000001E-2</v>
      </c>
      <c r="U3" s="397">
        <f>'Tableau de bord'!U79</f>
        <v>9.5000000000000001E-2</v>
      </c>
      <c r="V3" s="397">
        <f>'Tableau de bord'!V79</f>
        <v>9.5000000000000001E-2</v>
      </c>
      <c r="W3" s="397">
        <f>'Tableau de bord'!W79</f>
        <v>9.5000000000000001E-2</v>
      </c>
      <c r="X3" s="397">
        <f>'Tableau de bord'!X79</f>
        <v>9.5000000000000001E-2</v>
      </c>
      <c r="Y3" s="397">
        <f>'Tableau de bord'!Y79</f>
        <v>9.5000000000000001E-2</v>
      </c>
      <c r="Z3" s="397">
        <f>'Tableau de bord'!Z79</f>
        <v>9.5000000000000001E-2</v>
      </c>
      <c r="AA3" s="397">
        <f>'Tableau de bord'!AA79</f>
        <v>9.5000000000000001E-2</v>
      </c>
      <c r="AB3" s="397">
        <f>'Tableau de bord'!AB79</f>
        <v>9.5000000000000001E-2</v>
      </c>
      <c r="AC3" s="397">
        <f>'Tableau de bord'!AC79</f>
        <v>9.5000000000000001E-2</v>
      </c>
      <c r="AD3" s="397">
        <f>'Tableau de bord'!AD79</f>
        <v>9.5000000000000001E-2</v>
      </c>
      <c r="AE3" s="397">
        <f>'Tableau de bord'!AE79</f>
        <v>9.5000000000000001E-2</v>
      </c>
      <c r="AF3" s="397">
        <f>'Tableau de bord'!AF79</f>
        <v>9.5000000000000001E-2</v>
      </c>
      <c r="AG3" s="397">
        <f>'Tableau de bord'!AG79</f>
        <v>9.5000000000000001E-2</v>
      </c>
      <c r="AH3" s="397">
        <f>'Tableau de bord'!AH79</f>
        <v>9.5000000000000001E-2</v>
      </c>
      <c r="AI3" s="397">
        <f>'Tableau de bord'!AI79</f>
        <v>9.5000000000000001E-2</v>
      </c>
      <c r="AJ3" s="397">
        <f>'Tableau de bord'!AJ79</f>
        <v>9.5000000000000001E-2</v>
      </c>
      <c r="AK3" s="397">
        <f>'Tableau de bord'!AK79</f>
        <v>9.5000000000000001E-2</v>
      </c>
      <c r="AL3" s="397">
        <f>'Tableau de bord'!AL79</f>
        <v>9.5000000000000001E-2</v>
      </c>
      <c r="AM3" s="397">
        <f>'Tableau de bord'!AM79</f>
        <v>9.5000000000000001E-2</v>
      </c>
      <c r="AN3" s="397">
        <f>'Tableau de bord'!AN79</f>
        <v>9.5000000000000001E-2</v>
      </c>
      <c r="AO3" s="397">
        <f>'Tableau de bord'!AO79</f>
        <v>9.5000000000000001E-2</v>
      </c>
      <c r="AP3" s="397">
        <f>'Tableau de bord'!AP79</f>
        <v>9.5000000000000001E-2</v>
      </c>
      <c r="AQ3" s="397">
        <f>'Tableau de bord'!AQ79</f>
        <v>9.5000000000000001E-2</v>
      </c>
      <c r="AR3" s="397">
        <f>'Tableau de bord'!AR79</f>
        <v>9.5000000000000001E-2</v>
      </c>
      <c r="AS3" s="397">
        <f>'Tableau de bord'!AS79</f>
        <v>9.5000000000000001E-2</v>
      </c>
      <c r="AT3" s="397">
        <f>'Tableau de bord'!AT79</f>
        <v>9.5000000000000001E-2</v>
      </c>
      <c r="AU3" s="397">
        <f>'Tableau de bord'!AU79</f>
        <v>9.5000000000000001E-2</v>
      </c>
      <c r="AV3" s="397">
        <f>'Tableau de bord'!AV79</f>
        <v>9.5000000000000001E-2</v>
      </c>
      <c r="AW3" s="397">
        <f>'Tableau de bord'!AW79</f>
        <v>9.5000000000000001E-2</v>
      </c>
      <c r="AX3" s="397">
        <f>'Tableau de bord'!AX79</f>
        <v>9.5000000000000001E-2</v>
      </c>
      <c r="AY3" s="397">
        <f>'Tableau de bord'!AY79</f>
        <v>9.5000000000000001E-2</v>
      </c>
      <c r="AZ3" s="398">
        <f>'Tableau de bord'!AZ79</f>
        <v>9.5000000000000001E-2</v>
      </c>
    </row>
    <row r="4" spans="1:52" s="399" customFormat="1">
      <c r="A4" s="61" t="s">
        <v>0</v>
      </c>
      <c r="B4" s="318" t="str">
        <f>'Tableau de bord'!B83</f>
        <v>Exemple</v>
      </c>
      <c r="C4" s="396">
        <f>'Tableau de bord'!C83</f>
        <v>0.02</v>
      </c>
      <c r="D4" s="397">
        <f>'Tableau de bord'!D83</f>
        <v>0.02</v>
      </c>
      <c r="E4" s="397">
        <f>'Tableau de bord'!E83</f>
        <v>0.02</v>
      </c>
      <c r="F4" s="397">
        <f>'Tableau de bord'!F83</f>
        <v>0.02</v>
      </c>
      <c r="G4" s="397">
        <f>'Tableau de bord'!G83</f>
        <v>0.02</v>
      </c>
      <c r="H4" s="397">
        <f>'Tableau de bord'!H83</f>
        <v>0.02</v>
      </c>
      <c r="I4" s="397">
        <f>'Tableau de bord'!I83</f>
        <v>0.02</v>
      </c>
      <c r="J4" s="397">
        <f>'Tableau de bord'!J83</f>
        <v>0.02</v>
      </c>
      <c r="K4" s="397">
        <f>'Tableau de bord'!K83</f>
        <v>0.02</v>
      </c>
      <c r="L4" s="397">
        <f>'Tableau de bord'!L83</f>
        <v>0.02</v>
      </c>
      <c r="M4" s="397">
        <f>'Tableau de bord'!M83</f>
        <v>0.02</v>
      </c>
      <c r="N4" s="397">
        <f>'Tableau de bord'!N83</f>
        <v>0.02</v>
      </c>
      <c r="O4" s="397">
        <f>'Tableau de bord'!O83</f>
        <v>0.02</v>
      </c>
      <c r="P4" s="397">
        <f>'Tableau de bord'!P83</f>
        <v>0.02</v>
      </c>
      <c r="Q4" s="397">
        <f>'Tableau de bord'!Q83</f>
        <v>0.02</v>
      </c>
      <c r="R4" s="397">
        <f>'Tableau de bord'!R83</f>
        <v>0.02</v>
      </c>
      <c r="S4" s="397">
        <f>'Tableau de bord'!S83</f>
        <v>0.02</v>
      </c>
      <c r="T4" s="397">
        <f>'Tableau de bord'!T83</f>
        <v>0.02</v>
      </c>
      <c r="U4" s="397">
        <f>'Tableau de bord'!U83</f>
        <v>0.02</v>
      </c>
      <c r="V4" s="397">
        <f>'Tableau de bord'!V83</f>
        <v>0.02</v>
      </c>
      <c r="W4" s="397">
        <f>'Tableau de bord'!W83</f>
        <v>0.02</v>
      </c>
      <c r="X4" s="397">
        <f>'Tableau de bord'!X83</f>
        <v>0.02</v>
      </c>
      <c r="Y4" s="397">
        <f>'Tableau de bord'!Y83</f>
        <v>0.02</v>
      </c>
      <c r="Z4" s="397">
        <f>'Tableau de bord'!Z83</f>
        <v>0.02</v>
      </c>
      <c r="AA4" s="397">
        <f>'Tableau de bord'!AA83</f>
        <v>0.02</v>
      </c>
      <c r="AB4" s="397">
        <f>'Tableau de bord'!AB83</f>
        <v>0.02</v>
      </c>
      <c r="AC4" s="397">
        <f>'Tableau de bord'!AC83</f>
        <v>0.02</v>
      </c>
      <c r="AD4" s="397">
        <f>'Tableau de bord'!AD83</f>
        <v>0.02</v>
      </c>
      <c r="AE4" s="397">
        <f>'Tableau de bord'!AE83</f>
        <v>0.02</v>
      </c>
      <c r="AF4" s="397">
        <f>'Tableau de bord'!AF83</f>
        <v>0.02</v>
      </c>
      <c r="AG4" s="397">
        <f>'Tableau de bord'!AG83</f>
        <v>0.02</v>
      </c>
      <c r="AH4" s="397">
        <f>'Tableau de bord'!AH83</f>
        <v>0.02</v>
      </c>
      <c r="AI4" s="397">
        <f>'Tableau de bord'!AI83</f>
        <v>0.02</v>
      </c>
      <c r="AJ4" s="397">
        <f>'Tableau de bord'!AJ83</f>
        <v>0.02</v>
      </c>
      <c r="AK4" s="397">
        <f>'Tableau de bord'!AK83</f>
        <v>0.02</v>
      </c>
      <c r="AL4" s="397">
        <f>'Tableau de bord'!AL83</f>
        <v>0.02</v>
      </c>
      <c r="AM4" s="397">
        <f>'Tableau de bord'!AM83</f>
        <v>0.02</v>
      </c>
      <c r="AN4" s="397">
        <f>'Tableau de bord'!AN83</f>
        <v>0.02</v>
      </c>
      <c r="AO4" s="397">
        <f>'Tableau de bord'!AO83</f>
        <v>0.02</v>
      </c>
      <c r="AP4" s="397">
        <f>'Tableau de bord'!AP83</f>
        <v>0.02</v>
      </c>
      <c r="AQ4" s="397">
        <f>'Tableau de bord'!AQ83</f>
        <v>0.02</v>
      </c>
      <c r="AR4" s="397">
        <f>'Tableau de bord'!AR83</f>
        <v>0.02</v>
      </c>
      <c r="AS4" s="397">
        <f>'Tableau de bord'!AS83</f>
        <v>0.02</v>
      </c>
      <c r="AT4" s="397">
        <f>'Tableau de bord'!AT83</f>
        <v>0.02</v>
      </c>
      <c r="AU4" s="397">
        <f>'Tableau de bord'!AU83</f>
        <v>0.02</v>
      </c>
      <c r="AV4" s="397">
        <f>'Tableau de bord'!AV83</f>
        <v>0.02</v>
      </c>
      <c r="AW4" s="397">
        <f>'Tableau de bord'!AW83</f>
        <v>0.02</v>
      </c>
      <c r="AX4" s="397">
        <f>'Tableau de bord'!AX83</f>
        <v>0.02</v>
      </c>
      <c r="AY4" s="397">
        <f>'Tableau de bord'!AY83</f>
        <v>0.02</v>
      </c>
      <c r="AZ4" s="398">
        <f>'Tableau de bord'!AZ83</f>
        <v>0.02</v>
      </c>
    </row>
    <row r="5" spans="1:52" s="399" customFormat="1">
      <c r="A5" s="61" t="s">
        <v>2</v>
      </c>
      <c r="B5" s="318" t="str">
        <f>'Tableau de bord'!B91</f>
        <v>PLF 2014</v>
      </c>
      <c r="C5" s="396">
        <f>'Tableau de bord'!C91</f>
        <v>1.2999999999999999E-2</v>
      </c>
      <c r="D5" s="397">
        <f>'Tableau de bord'!D91</f>
        <v>1.2999999999999999E-2</v>
      </c>
      <c r="E5" s="397">
        <f>'Tableau de bord'!E91</f>
        <v>1.2999999999999999E-2</v>
      </c>
      <c r="F5" s="397">
        <f>'Tableau de bord'!F91</f>
        <v>1.2999999999999999E-2</v>
      </c>
      <c r="G5" s="397">
        <f>'Tableau de bord'!G91</f>
        <v>1.2999999999999999E-2</v>
      </c>
      <c r="H5" s="397">
        <f>'Tableau de bord'!H91</f>
        <v>1.2999999999999999E-2</v>
      </c>
      <c r="I5" s="397">
        <f>'Tableau de bord'!I91</f>
        <v>1.2999999999999999E-2</v>
      </c>
      <c r="J5" s="397">
        <f>'Tableau de bord'!J91</f>
        <v>1.2999999999999999E-2</v>
      </c>
      <c r="K5" s="397">
        <f>'Tableau de bord'!K91</f>
        <v>1.2999999999999999E-2</v>
      </c>
      <c r="L5" s="397">
        <f>'Tableau de bord'!L91</f>
        <v>1.2999999999999999E-2</v>
      </c>
      <c r="M5" s="397">
        <f>'Tableau de bord'!M91</f>
        <v>1.2999999999999999E-2</v>
      </c>
      <c r="N5" s="397">
        <f>'Tableau de bord'!N91</f>
        <v>1.2999999999999999E-2</v>
      </c>
      <c r="O5" s="397">
        <f>'Tableau de bord'!O91</f>
        <v>1.2999999999999999E-2</v>
      </c>
      <c r="P5" s="397">
        <f>'Tableau de bord'!P91</f>
        <v>1.2999999999999999E-2</v>
      </c>
      <c r="Q5" s="397">
        <f>'Tableau de bord'!Q91</f>
        <v>1.2999999999999999E-2</v>
      </c>
      <c r="R5" s="397">
        <f>'Tableau de bord'!R91</f>
        <v>1.2999999999999999E-2</v>
      </c>
      <c r="S5" s="397">
        <f>'Tableau de bord'!S91</f>
        <v>1.2999999999999999E-2</v>
      </c>
      <c r="T5" s="397">
        <f>'Tableau de bord'!T91</f>
        <v>1.2999999999999999E-2</v>
      </c>
      <c r="U5" s="397">
        <f>'Tableau de bord'!U91</f>
        <v>1.2999999999999999E-2</v>
      </c>
      <c r="V5" s="397">
        <f>'Tableau de bord'!V91</f>
        <v>1.2999999999999999E-2</v>
      </c>
      <c r="W5" s="397">
        <f>'Tableau de bord'!W91</f>
        <v>1.2999999999999999E-2</v>
      </c>
      <c r="X5" s="397">
        <f>'Tableau de bord'!X91</f>
        <v>1.2999999999999999E-2</v>
      </c>
      <c r="Y5" s="397">
        <f>'Tableau de bord'!Y91</f>
        <v>1.2999999999999999E-2</v>
      </c>
      <c r="Z5" s="397">
        <f>'Tableau de bord'!Z91</f>
        <v>1.2999999999999999E-2</v>
      </c>
      <c r="AA5" s="397">
        <f>'Tableau de bord'!AA91</f>
        <v>1.2999999999999999E-2</v>
      </c>
      <c r="AB5" s="397">
        <f>'Tableau de bord'!AB91</f>
        <v>1.2999999999999999E-2</v>
      </c>
      <c r="AC5" s="397">
        <f>'Tableau de bord'!AC91</f>
        <v>1.2999999999999999E-2</v>
      </c>
      <c r="AD5" s="397">
        <f>'Tableau de bord'!AD91</f>
        <v>1.2999999999999999E-2</v>
      </c>
      <c r="AE5" s="397">
        <f>'Tableau de bord'!AE91</f>
        <v>1.2999999999999999E-2</v>
      </c>
      <c r="AF5" s="397">
        <f>'Tableau de bord'!AF91</f>
        <v>1.2999999999999999E-2</v>
      </c>
      <c r="AG5" s="397">
        <f>'Tableau de bord'!AG91</f>
        <v>1.2999999999999999E-2</v>
      </c>
      <c r="AH5" s="397">
        <f>'Tableau de bord'!AH91</f>
        <v>1.2999999999999999E-2</v>
      </c>
      <c r="AI5" s="397">
        <f>'Tableau de bord'!AI91</f>
        <v>1.2999999999999999E-2</v>
      </c>
      <c r="AJ5" s="397">
        <f>'Tableau de bord'!AJ91</f>
        <v>1.2999999999999999E-2</v>
      </c>
      <c r="AK5" s="397">
        <f>'Tableau de bord'!AK91</f>
        <v>1.2999999999999999E-2</v>
      </c>
      <c r="AL5" s="397">
        <f>'Tableau de bord'!AL91</f>
        <v>1.2999999999999999E-2</v>
      </c>
      <c r="AM5" s="397">
        <f>'Tableau de bord'!AM91</f>
        <v>1.2999999999999999E-2</v>
      </c>
      <c r="AN5" s="397">
        <f>'Tableau de bord'!AN91</f>
        <v>1.2999999999999999E-2</v>
      </c>
      <c r="AO5" s="397">
        <f>'Tableau de bord'!AO91</f>
        <v>1.2999999999999999E-2</v>
      </c>
      <c r="AP5" s="397">
        <f>'Tableau de bord'!AP91</f>
        <v>1.2999999999999999E-2</v>
      </c>
      <c r="AQ5" s="397">
        <f>'Tableau de bord'!AQ91</f>
        <v>1.2999999999999999E-2</v>
      </c>
      <c r="AR5" s="397">
        <f>'Tableau de bord'!AR91</f>
        <v>1.2999999999999999E-2</v>
      </c>
      <c r="AS5" s="397">
        <f>'Tableau de bord'!AS91</f>
        <v>1.2999999999999999E-2</v>
      </c>
      <c r="AT5" s="397">
        <f>'Tableau de bord'!AT91</f>
        <v>1.2999999999999999E-2</v>
      </c>
      <c r="AU5" s="397">
        <f>'Tableau de bord'!AU91</f>
        <v>1.2999999999999999E-2</v>
      </c>
      <c r="AV5" s="397">
        <f>'Tableau de bord'!AV91</f>
        <v>1.2999999999999999E-2</v>
      </c>
      <c r="AW5" s="397">
        <f>'Tableau de bord'!AW91</f>
        <v>1.2999999999999999E-2</v>
      </c>
      <c r="AX5" s="397">
        <f>'Tableau de bord'!AX91</f>
        <v>1.2999999999999999E-2</v>
      </c>
      <c r="AY5" s="397">
        <f>'Tableau de bord'!AY91</f>
        <v>1.2999999999999999E-2</v>
      </c>
      <c r="AZ5" s="398">
        <f>'Tableau de bord'!AZ91</f>
        <v>1.2999999999999999E-2</v>
      </c>
    </row>
    <row r="6" spans="1:52" s="404" customFormat="1">
      <c r="A6" s="323" t="s">
        <v>1</v>
      </c>
      <c r="B6" s="400"/>
      <c r="C6" s="401">
        <f>C3+C4</f>
        <v>0.115</v>
      </c>
      <c r="D6" s="402">
        <f t="shared" ref="D6:AF6" si="0">D3+D4</f>
        <v>0.115</v>
      </c>
      <c r="E6" s="402">
        <f t="shared" si="0"/>
        <v>0.115</v>
      </c>
      <c r="F6" s="402">
        <f t="shared" si="0"/>
        <v>0.115</v>
      </c>
      <c r="G6" s="402">
        <f t="shared" si="0"/>
        <v>0.115</v>
      </c>
      <c r="H6" s="402">
        <f t="shared" si="0"/>
        <v>0.115</v>
      </c>
      <c r="I6" s="402">
        <f t="shared" si="0"/>
        <v>0.115</v>
      </c>
      <c r="J6" s="402">
        <f t="shared" si="0"/>
        <v>0.115</v>
      </c>
      <c r="K6" s="402">
        <f t="shared" si="0"/>
        <v>0.115</v>
      </c>
      <c r="L6" s="402">
        <f t="shared" si="0"/>
        <v>0.115</v>
      </c>
      <c r="M6" s="402">
        <f t="shared" si="0"/>
        <v>0.115</v>
      </c>
      <c r="N6" s="402">
        <f t="shared" si="0"/>
        <v>0.115</v>
      </c>
      <c r="O6" s="402">
        <f t="shared" si="0"/>
        <v>0.115</v>
      </c>
      <c r="P6" s="402">
        <f t="shared" si="0"/>
        <v>0.115</v>
      </c>
      <c r="Q6" s="402">
        <f t="shared" si="0"/>
        <v>0.115</v>
      </c>
      <c r="R6" s="402">
        <f t="shared" si="0"/>
        <v>0.115</v>
      </c>
      <c r="S6" s="402">
        <f t="shared" si="0"/>
        <v>0.115</v>
      </c>
      <c r="T6" s="402">
        <f t="shared" si="0"/>
        <v>0.115</v>
      </c>
      <c r="U6" s="402">
        <f t="shared" si="0"/>
        <v>0.115</v>
      </c>
      <c r="V6" s="402">
        <f t="shared" si="0"/>
        <v>0.115</v>
      </c>
      <c r="W6" s="402">
        <f t="shared" si="0"/>
        <v>0.115</v>
      </c>
      <c r="X6" s="402">
        <f t="shared" si="0"/>
        <v>0.115</v>
      </c>
      <c r="Y6" s="402">
        <f t="shared" si="0"/>
        <v>0.115</v>
      </c>
      <c r="Z6" s="402">
        <f t="shared" si="0"/>
        <v>0.115</v>
      </c>
      <c r="AA6" s="402">
        <f t="shared" si="0"/>
        <v>0.115</v>
      </c>
      <c r="AB6" s="402">
        <f t="shared" si="0"/>
        <v>0.115</v>
      </c>
      <c r="AC6" s="402">
        <f t="shared" si="0"/>
        <v>0.115</v>
      </c>
      <c r="AD6" s="402">
        <f t="shared" si="0"/>
        <v>0.115</v>
      </c>
      <c r="AE6" s="402">
        <f t="shared" si="0"/>
        <v>0.115</v>
      </c>
      <c r="AF6" s="402">
        <f t="shared" si="0"/>
        <v>0.115</v>
      </c>
      <c r="AG6" s="402">
        <f t="shared" ref="AG6:AZ6" si="1">AG3+AG4</f>
        <v>0.115</v>
      </c>
      <c r="AH6" s="402">
        <f t="shared" si="1"/>
        <v>0.115</v>
      </c>
      <c r="AI6" s="402">
        <f t="shared" si="1"/>
        <v>0.115</v>
      </c>
      <c r="AJ6" s="402">
        <f t="shared" si="1"/>
        <v>0.115</v>
      </c>
      <c r="AK6" s="402">
        <f t="shared" si="1"/>
        <v>0.115</v>
      </c>
      <c r="AL6" s="402">
        <f t="shared" si="1"/>
        <v>0.115</v>
      </c>
      <c r="AM6" s="402">
        <f t="shared" si="1"/>
        <v>0.115</v>
      </c>
      <c r="AN6" s="402">
        <f t="shared" si="1"/>
        <v>0.115</v>
      </c>
      <c r="AO6" s="402">
        <f t="shared" si="1"/>
        <v>0.115</v>
      </c>
      <c r="AP6" s="402">
        <f t="shared" si="1"/>
        <v>0.115</v>
      </c>
      <c r="AQ6" s="402">
        <f t="shared" si="1"/>
        <v>0.115</v>
      </c>
      <c r="AR6" s="402">
        <f t="shared" si="1"/>
        <v>0.115</v>
      </c>
      <c r="AS6" s="402">
        <f t="shared" si="1"/>
        <v>0.115</v>
      </c>
      <c r="AT6" s="402">
        <f t="shared" si="1"/>
        <v>0.115</v>
      </c>
      <c r="AU6" s="402">
        <f t="shared" si="1"/>
        <v>0.115</v>
      </c>
      <c r="AV6" s="402">
        <f t="shared" si="1"/>
        <v>0.115</v>
      </c>
      <c r="AW6" s="402">
        <f t="shared" si="1"/>
        <v>0.115</v>
      </c>
      <c r="AX6" s="402">
        <f t="shared" si="1"/>
        <v>0.115</v>
      </c>
      <c r="AY6" s="402">
        <f t="shared" si="1"/>
        <v>0.115</v>
      </c>
      <c r="AZ6" s="403">
        <f t="shared" si="1"/>
        <v>0.115</v>
      </c>
    </row>
    <row r="7" spans="1:52" s="404" customFormat="1">
      <c r="A7" s="323" t="s">
        <v>3</v>
      </c>
      <c r="B7" s="400"/>
      <c r="C7" s="405">
        <f t="shared" ref="C7:V7" si="2">(1+C6)/(1+C5)-1</f>
        <v>0.10069101678183623</v>
      </c>
      <c r="D7" s="406">
        <f t="shared" si="2"/>
        <v>0.10069101678183623</v>
      </c>
      <c r="E7" s="406">
        <f t="shared" si="2"/>
        <v>0.10069101678183623</v>
      </c>
      <c r="F7" s="406">
        <f t="shared" si="2"/>
        <v>0.10069101678183623</v>
      </c>
      <c r="G7" s="406">
        <f t="shared" si="2"/>
        <v>0.10069101678183623</v>
      </c>
      <c r="H7" s="406">
        <f t="shared" si="2"/>
        <v>0.10069101678183623</v>
      </c>
      <c r="I7" s="406">
        <f t="shared" si="2"/>
        <v>0.10069101678183623</v>
      </c>
      <c r="J7" s="406">
        <f t="shared" si="2"/>
        <v>0.10069101678183623</v>
      </c>
      <c r="K7" s="406">
        <f t="shared" si="2"/>
        <v>0.10069101678183623</v>
      </c>
      <c r="L7" s="406">
        <f t="shared" si="2"/>
        <v>0.10069101678183623</v>
      </c>
      <c r="M7" s="406">
        <f t="shared" si="2"/>
        <v>0.10069101678183623</v>
      </c>
      <c r="N7" s="406">
        <f t="shared" si="2"/>
        <v>0.10069101678183623</v>
      </c>
      <c r="O7" s="406">
        <f t="shared" si="2"/>
        <v>0.10069101678183623</v>
      </c>
      <c r="P7" s="406">
        <f t="shared" si="2"/>
        <v>0.10069101678183623</v>
      </c>
      <c r="Q7" s="406">
        <f t="shared" si="2"/>
        <v>0.10069101678183623</v>
      </c>
      <c r="R7" s="406">
        <f t="shared" si="2"/>
        <v>0.10069101678183623</v>
      </c>
      <c r="S7" s="406">
        <f t="shared" si="2"/>
        <v>0.10069101678183623</v>
      </c>
      <c r="T7" s="406">
        <f t="shared" si="2"/>
        <v>0.10069101678183623</v>
      </c>
      <c r="U7" s="406">
        <f t="shared" si="2"/>
        <v>0.10069101678183623</v>
      </c>
      <c r="V7" s="406">
        <f t="shared" si="2"/>
        <v>0.10069101678183623</v>
      </c>
      <c r="W7" s="406">
        <f t="shared" ref="W7:AF7" si="3">(1+W6)/(1+W5)-1</f>
        <v>0.10069101678183623</v>
      </c>
      <c r="X7" s="406">
        <f t="shared" si="3"/>
        <v>0.10069101678183623</v>
      </c>
      <c r="Y7" s="406">
        <f t="shared" si="3"/>
        <v>0.10069101678183623</v>
      </c>
      <c r="Z7" s="406">
        <f t="shared" si="3"/>
        <v>0.10069101678183623</v>
      </c>
      <c r="AA7" s="406">
        <f t="shared" si="3"/>
        <v>0.10069101678183623</v>
      </c>
      <c r="AB7" s="406">
        <f t="shared" si="3"/>
        <v>0.10069101678183623</v>
      </c>
      <c r="AC7" s="406">
        <f t="shared" si="3"/>
        <v>0.10069101678183623</v>
      </c>
      <c r="AD7" s="406">
        <f t="shared" si="3"/>
        <v>0.10069101678183623</v>
      </c>
      <c r="AE7" s="406">
        <f t="shared" si="3"/>
        <v>0.10069101678183623</v>
      </c>
      <c r="AF7" s="406">
        <f t="shared" si="3"/>
        <v>0.10069101678183623</v>
      </c>
      <c r="AG7" s="406">
        <f t="shared" ref="AG7:AZ7" si="4">(1+AG6)/(1+AG5)-1</f>
        <v>0.10069101678183623</v>
      </c>
      <c r="AH7" s="406">
        <f t="shared" si="4"/>
        <v>0.10069101678183623</v>
      </c>
      <c r="AI7" s="406">
        <f t="shared" si="4"/>
        <v>0.10069101678183623</v>
      </c>
      <c r="AJ7" s="406">
        <f t="shared" si="4"/>
        <v>0.10069101678183623</v>
      </c>
      <c r="AK7" s="406">
        <f t="shared" si="4"/>
        <v>0.10069101678183623</v>
      </c>
      <c r="AL7" s="406">
        <f t="shared" si="4"/>
        <v>0.10069101678183623</v>
      </c>
      <c r="AM7" s="406">
        <f t="shared" si="4"/>
        <v>0.10069101678183623</v>
      </c>
      <c r="AN7" s="406">
        <f t="shared" si="4"/>
        <v>0.10069101678183623</v>
      </c>
      <c r="AO7" s="406">
        <f t="shared" si="4"/>
        <v>0.10069101678183623</v>
      </c>
      <c r="AP7" s="406">
        <f t="shared" si="4"/>
        <v>0.10069101678183623</v>
      </c>
      <c r="AQ7" s="406">
        <f t="shared" si="4"/>
        <v>0.10069101678183623</v>
      </c>
      <c r="AR7" s="406">
        <f t="shared" si="4"/>
        <v>0.10069101678183623</v>
      </c>
      <c r="AS7" s="406">
        <f t="shared" si="4"/>
        <v>0.10069101678183623</v>
      </c>
      <c r="AT7" s="406">
        <f t="shared" si="4"/>
        <v>0.10069101678183623</v>
      </c>
      <c r="AU7" s="406">
        <f t="shared" si="4"/>
        <v>0.10069101678183623</v>
      </c>
      <c r="AV7" s="406">
        <f t="shared" si="4"/>
        <v>0.10069101678183623</v>
      </c>
      <c r="AW7" s="406">
        <f t="shared" si="4"/>
        <v>0.10069101678183623</v>
      </c>
      <c r="AX7" s="406">
        <f t="shared" si="4"/>
        <v>0.10069101678183623</v>
      </c>
      <c r="AY7" s="406">
        <f t="shared" si="4"/>
        <v>0.10069101678183623</v>
      </c>
      <c r="AZ7" s="407">
        <f t="shared" si="4"/>
        <v>0.10069101678183623</v>
      </c>
    </row>
    <row r="8" spans="1:52" s="411" customFormat="1" ht="14.25" customHeight="1">
      <c r="A8" s="324" t="s">
        <v>13</v>
      </c>
      <c r="B8" s="325"/>
      <c r="C8" s="408">
        <f>1</f>
        <v>1</v>
      </c>
      <c r="D8" s="409">
        <f>C8*1/(1+D7)</f>
        <v>0.9085201793721972</v>
      </c>
      <c r="E8" s="409">
        <f t="shared" ref="E8:V8" si="5">D8*1/(1+E7)</f>
        <v>0.82540891632648938</v>
      </c>
      <c r="F8" s="409">
        <f t="shared" si="5"/>
        <v>0.74990065671635309</v>
      </c>
      <c r="G8" s="409">
        <f t="shared" si="5"/>
        <v>0.68129987915126955</v>
      </c>
      <c r="H8" s="409">
        <f t="shared" si="5"/>
        <v>0.6189746884127677</v>
      </c>
      <c r="I8" s="409">
        <f t="shared" si="5"/>
        <v>0.56235099494361762</v>
      </c>
      <c r="J8" s="409">
        <f t="shared" si="5"/>
        <v>0.51090722679630907</v>
      </c>
      <c r="K8" s="409">
        <f t="shared" si="5"/>
        <v>0.46416952533153455</v>
      </c>
      <c r="L8" s="409">
        <f t="shared" si="5"/>
        <v>0.4217073804133134</v>
      </c>
      <c r="M8" s="409">
        <f t="shared" si="5"/>
        <v>0.3831296648956829</v>
      </c>
      <c r="N8" s="409">
        <f t="shared" si="5"/>
        <v>0.34808103187383566</v>
      </c>
      <c r="O8" s="409">
        <f t="shared" si="5"/>
        <v>0.31623864151407666</v>
      </c>
      <c r="P8" s="409">
        <f t="shared" si="5"/>
        <v>0.28730918731278893</v>
      </c>
      <c r="Q8" s="409">
        <f t="shared" si="5"/>
        <v>0.2610261943926952</v>
      </c>
      <c r="R8" s="409">
        <f t="shared" si="5"/>
        <v>0.23714756495049347</v>
      </c>
      <c r="S8" s="409">
        <f t="shared" si="5"/>
        <v>0.21545334824650211</v>
      </c>
      <c r="T8" s="409">
        <f t="shared" si="5"/>
        <v>0.19574371459525258</v>
      </c>
      <c r="U8" s="409">
        <f t="shared" si="5"/>
        <v>0.17783711469505906</v>
      </c>
      <c r="V8" s="409">
        <f t="shared" si="5"/>
        <v>0.16156860734178907</v>
      </c>
      <c r="W8" s="409">
        <f t="shared" ref="W8" si="6">V8*1/(1+W7)</f>
        <v>0.14678834012307831</v>
      </c>
      <c r="X8" s="409">
        <f t="shared" ref="X8" si="7">W8*1/(1+X7)</f>
        <v>0.1333601690983662</v>
      </c>
      <c r="Y8" s="409">
        <f t="shared" ref="Y8" si="8">X8*1/(1+Y7)</f>
        <v>0.12116040475035422</v>
      </c>
      <c r="Z8" s="409">
        <f t="shared" ref="Z8" si="9">Y8*1/(1+Z7)</f>
        <v>0.11007667265659983</v>
      </c>
      <c r="AA8" s="409">
        <f t="shared" ref="AA8" si="10">Z8*1/(1+AA7)</f>
        <v>0.10000687838666872</v>
      </c>
      <c r="AB8" s="409">
        <f t="shared" ref="AB8" si="11">AA8*1/(1+AB7)</f>
        <v>9.085826709030978E-2</v>
      </c>
      <c r="AC8" s="409">
        <f t="shared" ref="AC8" si="12">AB8*1/(1+AC7)</f>
        <v>8.254656911433525E-2</v>
      </c>
      <c r="AD8" s="409">
        <f t="shared" ref="AD8" si="13">AC8*1/(1+AD7)</f>
        <v>7.4995223778315342E-2</v>
      </c>
      <c r="AE8" s="409">
        <f t="shared" ref="AE8" si="14">AD8*1/(1+AE7)</f>
        <v>6.813467415913313E-2</v>
      </c>
      <c r="AF8" s="409">
        <f t="shared" ref="AF8" si="15">AE8*1/(1+AF7)</f>
        <v>6.1901726388521844E-2</v>
      </c>
      <c r="AG8" s="409">
        <f t="shared" ref="AG8" si="16">AF8*1/(1+AG7)</f>
        <v>5.6238967561948537E-2</v>
      </c>
      <c r="AH8" s="409">
        <f t="shared" ref="AH8" si="17">AG8*1/(1+AH7)</f>
        <v>5.1094236897088668E-2</v>
      </c>
      <c r="AI8" s="409">
        <f t="shared" ref="AI8" si="18">AH8*1/(1+AI7)</f>
        <v>4.6420145270628536E-2</v>
      </c>
      <c r="AJ8" s="409">
        <f t="shared" ref="AJ8" si="19">AI8*1/(1+AJ7)</f>
        <v>4.2173638707754889E-2</v>
      </c>
      <c r="AK8" s="409">
        <f t="shared" ref="AK8" si="20">AJ8*1/(1+AK7)</f>
        <v>3.8315601803547712E-2</v>
      </c>
      <c r="AL8" s="409">
        <f t="shared" ref="AL8" si="21">AK8*1/(1+AL7)</f>
        <v>3.4810497423312853E-2</v>
      </c>
      <c r="AM8" s="409">
        <f t="shared" ref="AM8" si="22">AL8*1/(1+AM7)</f>
        <v>3.1626039363063602E-2</v>
      </c>
      <c r="AN8" s="409">
        <f t="shared" ref="AN8" si="23">AM8*1/(1+AN7)</f>
        <v>2.8732894954962715E-2</v>
      </c>
      <c r="AO8" s="409">
        <f t="shared" ref="AO8" si="24">AN8*1/(1+AO7)</f>
        <v>2.6104414878365227E-2</v>
      </c>
      <c r="AP8" s="409">
        <f t="shared" ref="AP8" si="25">AO8*1/(1+AP7)</f>
        <v>2.3716387687698629E-2</v>
      </c>
      <c r="AQ8" s="409">
        <f t="shared" ref="AQ8" si="26">AP8*1/(1+AQ7)</f>
        <v>2.1546816796088528E-2</v>
      </c>
      <c r="AR8" s="409">
        <f t="shared" ref="AR8" si="27">AQ8*1/(1+AR7)</f>
        <v>1.9575717860482223E-2</v>
      </c>
      <c r="AS8" s="409">
        <f t="shared" ref="AS8" si="28">AR8*1/(1+AS7)</f>
        <v>1.7784934701944834E-2</v>
      </c>
      <c r="AT8" s="409">
        <f t="shared" ref="AT8" si="29">AS8*1/(1+AT7)</f>
        <v>1.6157972065533734E-2</v>
      </c>
      <c r="AU8" s="409">
        <f t="shared" ref="AU8" si="30">AT8*1/(1+AU7)</f>
        <v>1.4679843679269661E-2</v>
      </c>
      <c r="AV8" s="409">
        <f t="shared" ref="AV8" si="31">AU8*1/(1+AV7)</f>
        <v>1.3336934212645889E-2</v>
      </c>
      <c r="AW8" s="409">
        <f t="shared" ref="AW8" si="32">AV8*1/(1+AW7)</f>
        <v>1.2116873863148237E-2</v>
      </c>
      <c r="AX8" s="409">
        <f t="shared" ref="AX8" si="33">AW8*1/(1+AX7)</f>
        <v>1.1008424415577724E-2</v>
      </c>
      <c r="AY8" s="409">
        <f t="shared" ref="AY8" si="34">AX8*1/(1+AY7)</f>
        <v>1.0001375724645949E-2</v>
      </c>
      <c r="AZ8" s="410">
        <f t="shared" ref="AZ8" si="35">AY8*1/(1+AZ7)</f>
        <v>9.0864516673240768E-3</v>
      </c>
    </row>
    <row r="9" spans="1:52"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</row>
    <row r="10" spans="1:52" s="417" customFormat="1">
      <c r="A10" s="413" t="s">
        <v>70</v>
      </c>
      <c r="B10" s="377"/>
      <c r="C10" s="414">
        <f ca="1">SUM('Revenus non récurrents'!C11:C12)+'Revenus non récurrents'!B13</f>
        <v>795200.00000000023</v>
      </c>
      <c r="D10" s="415">
        <f ca="1">SUM('Revenus non récurrents'!D11:D12)+'Revenus non récurrents'!C13</f>
        <v>1594600.0000000005</v>
      </c>
      <c r="E10" s="415">
        <f ca="1">SUM('Revenus non récurrents'!E11:E12)+'Revenus non récurrents'!D13</f>
        <v>2835454.8277164847</v>
      </c>
      <c r="F10" s="415">
        <f ca="1">SUM('Revenus non récurrents'!F11:F12)+'Revenus non récurrents'!E13</f>
        <v>4001194.0055223033</v>
      </c>
      <c r="G10" s="415">
        <f ca="1">SUM('Revenus non récurrents'!G11:G12)+'Revenus non récurrents'!F13</f>
        <v>3334500.0000000005</v>
      </c>
      <c r="H10" s="415">
        <f ca="1">SUM('Revenus non récurrents'!H11:H12)+'Revenus non récurrents'!G13</f>
        <v>7371513.160352435</v>
      </c>
      <c r="I10" s="415">
        <f ca="1">SUM('Revenus non récurrents'!I11:I12)+'Revenus non récurrents'!H13</f>
        <v>5656584.8026146078</v>
      </c>
      <c r="J10" s="415">
        <f ca="1">SUM('Revenus non récurrents'!J11:J12)+'Revenus non récurrents'!I13</f>
        <v>5836938.2028767001</v>
      </c>
      <c r="K10" s="415">
        <f ca="1">SUM('Revenus non récurrents'!K11:K12)+'Revenus non récurrents'!J13</f>
        <v>8460572.7551222667</v>
      </c>
      <c r="L10" s="415">
        <f ca="1">SUM('Revenus non récurrents'!L11:L12)+'Revenus non récurrents'!K13</f>
        <v>4455286.7855756935</v>
      </c>
      <c r="M10" s="415">
        <f ca="1">SUM('Revenus non récurrents'!M11:M12)+'Revenus non récurrents'!L13</f>
        <v>4083086.7992709763</v>
      </c>
      <c r="N10" s="415">
        <f ca="1">SUM('Revenus non récurrents'!N11:N12)+'Revenus non récurrents'!M13</f>
        <v>214200.00000000006</v>
      </c>
      <c r="O10" s="415">
        <f ca="1">SUM('Revenus non récurrents'!O11:O12)+'Revenus non récurrents'!N13</f>
        <v>45900.000000000007</v>
      </c>
      <c r="P10" s="415">
        <f ca="1">SUM('Revenus non récurrents'!P11:P12)+'Revenus non récurrents'!O13</f>
        <v>3653925.9280037512</v>
      </c>
      <c r="Q10" s="415">
        <f ca="1">SUM('Revenus non récurrents'!Q11:Q12)+'Revenus non récurrents'!P13</f>
        <v>0</v>
      </c>
      <c r="R10" s="415">
        <f ca="1">SUM('Revenus non récurrents'!R11:R12)+'Revenus non récurrents'!Q13</f>
        <v>0</v>
      </c>
      <c r="S10" s="415">
        <f ca="1">SUM('Revenus non récurrents'!S11:S12)+'Revenus non récurrents'!R13</f>
        <v>0</v>
      </c>
      <c r="T10" s="415">
        <f ca="1">SUM('Revenus non récurrents'!T11:T12)+'Revenus non récurrents'!S13</f>
        <v>0</v>
      </c>
      <c r="U10" s="415">
        <f ca="1">SUM('Revenus non récurrents'!U11:U12)+'Revenus non récurrents'!T13</f>
        <v>0</v>
      </c>
      <c r="V10" s="415">
        <f ca="1">SUM('Revenus non récurrents'!V11:V12)+'Revenus non récurrents'!U13</f>
        <v>0</v>
      </c>
      <c r="W10" s="415">
        <f ca="1">SUM('Revenus non récurrents'!W11:W12)+'Revenus non récurrents'!V13</f>
        <v>7200.0000000000018</v>
      </c>
      <c r="X10" s="415">
        <f ca="1">SUM('Revenus non récurrents'!X11:X12)+'Revenus non récurrents'!W13</f>
        <v>11700.000000000004</v>
      </c>
      <c r="Y10" s="415">
        <f ca="1">SUM('Revenus non récurrents'!Y11:Y12)+'Revenus non récurrents'!X13</f>
        <v>13500.000000000004</v>
      </c>
      <c r="Z10" s="415">
        <f ca="1">SUM('Revenus non récurrents'!Z11:Z12)+'Revenus non récurrents'!Y13</f>
        <v>14400.000000000004</v>
      </c>
      <c r="AA10" s="415">
        <f ca="1">SUM('Revenus non récurrents'!AA11:AA12)+'Revenus non récurrents'!Z13</f>
        <v>13500.000000000004</v>
      </c>
      <c r="AB10" s="415">
        <f ca="1">SUM('Revenus non récurrents'!AB11:AB12)+'Revenus non récurrents'!AA13</f>
        <v>11700.000000000004</v>
      </c>
      <c r="AC10" s="415">
        <f ca="1">SUM('Revenus non récurrents'!AC11:AC12)+'Revenus non récurrents'!AB13</f>
        <v>8100.0000000000018</v>
      </c>
      <c r="AD10" s="415">
        <f ca="1">SUM('Revenus non récurrents'!AD11:AD12)+'Revenus non récurrents'!AC13</f>
        <v>7200.0000000000018</v>
      </c>
      <c r="AE10" s="415">
        <f ca="1">SUM('Revenus non récurrents'!AE11:AE12)+'Revenus non récurrents'!AD13</f>
        <v>2700.0000000000009</v>
      </c>
      <c r="AF10" s="415">
        <f ca="1">SUM('Revenus non récurrents'!AF11:AF12)+'Revenus non récurrents'!AE13</f>
        <v>0</v>
      </c>
      <c r="AG10" s="415">
        <f ca="1">SUM('Revenus non récurrents'!AG11:AG12)+'Revenus non récurrents'!AF13</f>
        <v>0</v>
      </c>
      <c r="AH10" s="415">
        <f ca="1">SUM('Revenus non récurrents'!AH11:AH12)+'Revenus non récurrents'!AG13</f>
        <v>0</v>
      </c>
      <c r="AI10" s="415">
        <f ca="1">SUM('Revenus non récurrents'!AI11:AI12)+'Revenus non récurrents'!AH13</f>
        <v>0</v>
      </c>
      <c r="AJ10" s="415">
        <f ca="1">SUM('Revenus non récurrents'!AJ11:AJ12)+'Revenus non récurrents'!AI13</f>
        <v>0</v>
      </c>
      <c r="AK10" s="415">
        <f ca="1">SUM('Revenus non récurrents'!AK11:AK12)+'Revenus non récurrents'!AJ13</f>
        <v>0</v>
      </c>
      <c r="AL10" s="415">
        <f ca="1">SUM('Revenus non récurrents'!AL11:AL12)+'Revenus non récurrents'!AK13</f>
        <v>0</v>
      </c>
      <c r="AM10" s="415">
        <f ca="1">SUM('Revenus non récurrents'!AM11:AM12)+'Revenus non récurrents'!AL13</f>
        <v>0</v>
      </c>
      <c r="AN10" s="415">
        <f ca="1">SUM('Revenus non récurrents'!AN11:AN12)+'Revenus non récurrents'!AM13</f>
        <v>0</v>
      </c>
      <c r="AO10" s="415">
        <f ca="1">SUM('Revenus non récurrents'!AO11:AO12)+'Revenus non récurrents'!AN13</f>
        <v>0</v>
      </c>
      <c r="AP10" s="415">
        <f ca="1">SUM('Revenus non récurrents'!AP11:AP12)+'Revenus non récurrents'!AO13</f>
        <v>0</v>
      </c>
      <c r="AQ10" s="415">
        <f ca="1">SUM('Revenus non récurrents'!AQ11:AQ12)+'Revenus non récurrents'!AP13</f>
        <v>7200.0000000000018</v>
      </c>
      <c r="AR10" s="415">
        <f ca="1">SUM('Revenus non récurrents'!AR11:AR12)+'Revenus non récurrents'!AQ13</f>
        <v>11700.000000000004</v>
      </c>
      <c r="AS10" s="415">
        <f ca="1">SUM('Revenus non récurrents'!AS11:AS12)+'Revenus non récurrents'!AR13</f>
        <v>13500.000000000004</v>
      </c>
      <c r="AT10" s="415">
        <f ca="1">SUM('Revenus non récurrents'!AT11:AT12)+'Revenus non récurrents'!AS13</f>
        <v>14400.000000000004</v>
      </c>
      <c r="AU10" s="415">
        <f ca="1">SUM('Revenus non récurrents'!AU11:AU12)+'Revenus non récurrents'!AT13</f>
        <v>13500.000000000004</v>
      </c>
      <c r="AV10" s="415">
        <f ca="1">SUM('Revenus non récurrents'!AV11:AV12)+'Revenus non récurrents'!AU13</f>
        <v>11700.000000000004</v>
      </c>
      <c r="AW10" s="415">
        <f ca="1">SUM('Revenus non récurrents'!AW11:AW12)+'Revenus non récurrents'!AV13</f>
        <v>8100.0000000000018</v>
      </c>
      <c r="AX10" s="415">
        <f ca="1">SUM('Revenus non récurrents'!AX11:AX12)+'Revenus non récurrents'!AW13</f>
        <v>7200.0000000000018</v>
      </c>
      <c r="AY10" s="415">
        <f ca="1">SUM('Revenus non récurrents'!AY11:AY12)+'Revenus non récurrents'!AX13</f>
        <v>2700.0000000000009</v>
      </c>
      <c r="AZ10" s="416">
        <f ca="1">SUM('Revenus non récurrents'!AZ11:AZ12)+'Revenus non récurrents'!AY13</f>
        <v>0</v>
      </c>
    </row>
    <row r="11" spans="1:52" s="419" customFormat="1">
      <c r="A11" s="418" t="s">
        <v>80</v>
      </c>
      <c r="B11" s="377"/>
      <c r="C11" s="414">
        <f ca="1">'Revenus récurrents'!C18</f>
        <v>0</v>
      </c>
      <c r="D11" s="415">
        <f ca="1">'Revenus récurrents'!D18</f>
        <v>0</v>
      </c>
      <c r="E11" s="415">
        <f ca="1">'Revenus récurrents'!E18</f>
        <v>0</v>
      </c>
      <c r="F11" s="415">
        <f ca="1">'Revenus récurrents'!F18</f>
        <v>0</v>
      </c>
      <c r="G11" s="415">
        <f ca="1">'Revenus récurrents'!G18</f>
        <v>0</v>
      </c>
      <c r="H11" s="415">
        <f ca="1">'Revenus récurrents'!H18</f>
        <v>0</v>
      </c>
      <c r="I11" s="415">
        <f ca="1">'Revenus récurrents'!I18</f>
        <v>0</v>
      </c>
      <c r="J11" s="415">
        <f ca="1">'Revenus récurrents'!J18</f>
        <v>0</v>
      </c>
      <c r="K11" s="415">
        <f ca="1">'Revenus récurrents'!K18</f>
        <v>0</v>
      </c>
      <c r="L11" s="415">
        <f ca="1">'Revenus récurrents'!L18</f>
        <v>0</v>
      </c>
      <c r="M11" s="415">
        <f ca="1">'Revenus récurrents'!M18</f>
        <v>0</v>
      </c>
      <c r="N11" s="415">
        <f ca="1">'Revenus récurrents'!N18</f>
        <v>0</v>
      </c>
      <c r="O11" s="415">
        <f ca="1">'Revenus récurrents'!O18</f>
        <v>0</v>
      </c>
      <c r="P11" s="415">
        <f ca="1">'Revenus récurrents'!P18</f>
        <v>0</v>
      </c>
      <c r="Q11" s="415">
        <f ca="1">'Revenus récurrents'!Q18</f>
        <v>0</v>
      </c>
      <c r="R11" s="415">
        <f ca="1">'Revenus récurrents'!R18</f>
        <v>0</v>
      </c>
      <c r="S11" s="415">
        <f ca="1">'Revenus récurrents'!S18</f>
        <v>0</v>
      </c>
      <c r="T11" s="415">
        <f ca="1">'Revenus récurrents'!T18</f>
        <v>0</v>
      </c>
      <c r="U11" s="415">
        <f ca="1">'Revenus récurrents'!U18</f>
        <v>0</v>
      </c>
      <c r="V11" s="415">
        <f ca="1">'Revenus récurrents'!V18</f>
        <v>0</v>
      </c>
      <c r="W11" s="415">
        <f ca="1">'Revenus récurrents'!W18</f>
        <v>0</v>
      </c>
      <c r="X11" s="415">
        <f ca="1">'Revenus récurrents'!X18</f>
        <v>0</v>
      </c>
      <c r="Y11" s="415">
        <f ca="1">'Revenus récurrents'!Y18</f>
        <v>0</v>
      </c>
      <c r="Z11" s="415">
        <f ca="1">'Revenus récurrents'!Z18</f>
        <v>0</v>
      </c>
      <c r="AA11" s="415">
        <f ca="1">'Revenus récurrents'!AA18</f>
        <v>0</v>
      </c>
      <c r="AB11" s="415">
        <f ca="1">'Revenus récurrents'!AB18</f>
        <v>0</v>
      </c>
      <c r="AC11" s="415">
        <f ca="1">'Revenus récurrents'!AC18</f>
        <v>0</v>
      </c>
      <c r="AD11" s="415">
        <f ca="1">'Revenus récurrents'!AD18</f>
        <v>0</v>
      </c>
      <c r="AE11" s="415">
        <f ca="1">'Revenus récurrents'!AE18</f>
        <v>0</v>
      </c>
      <c r="AF11" s="415">
        <f ca="1">'Revenus récurrents'!AF18</f>
        <v>0</v>
      </c>
      <c r="AG11" s="415">
        <f ca="1">'Revenus récurrents'!AG18</f>
        <v>0</v>
      </c>
      <c r="AH11" s="415">
        <f ca="1">'Revenus récurrents'!AH18</f>
        <v>0</v>
      </c>
      <c r="AI11" s="415">
        <f ca="1">'Revenus récurrents'!AI18</f>
        <v>0</v>
      </c>
      <c r="AJ11" s="415">
        <f ca="1">'Revenus récurrents'!AJ18</f>
        <v>0</v>
      </c>
      <c r="AK11" s="415">
        <f ca="1">'Revenus récurrents'!AK18</f>
        <v>0</v>
      </c>
      <c r="AL11" s="415">
        <f ca="1">'Revenus récurrents'!AL18</f>
        <v>0</v>
      </c>
      <c r="AM11" s="415">
        <f ca="1">'Revenus récurrents'!AM18</f>
        <v>0</v>
      </c>
      <c r="AN11" s="415">
        <f ca="1">'Revenus récurrents'!AN18</f>
        <v>0</v>
      </c>
      <c r="AO11" s="415">
        <f ca="1">'Revenus récurrents'!AO18</f>
        <v>0</v>
      </c>
      <c r="AP11" s="415">
        <f ca="1">'Revenus récurrents'!AP18</f>
        <v>0</v>
      </c>
      <c r="AQ11" s="415">
        <f ca="1">'Revenus récurrents'!AQ18</f>
        <v>0</v>
      </c>
      <c r="AR11" s="415">
        <f ca="1">'Revenus récurrents'!AR18</f>
        <v>0</v>
      </c>
      <c r="AS11" s="415">
        <f ca="1">'Revenus récurrents'!AS18</f>
        <v>0</v>
      </c>
      <c r="AT11" s="415">
        <f ca="1">'Revenus récurrents'!AT18</f>
        <v>0</v>
      </c>
      <c r="AU11" s="415">
        <f ca="1">'Revenus récurrents'!AU18</f>
        <v>0</v>
      </c>
      <c r="AV11" s="415">
        <f ca="1">'Revenus récurrents'!AV18</f>
        <v>0</v>
      </c>
      <c r="AW11" s="415">
        <f ca="1">'Revenus récurrents'!AW18</f>
        <v>0</v>
      </c>
      <c r="AX11" s="415">
        <f ca="1">'Revenus récurrents'!AX18</f>
        <v>0</v>
      </c>
      <c r="AY11" s="415">
        <f ca="1">'Revenus récurrents'!AY18</f>
        <v>0</v>
      </c>
      <c r="AZ11" s="416">
        <f ca="1">'Revenus récurrents'!AZ18</f>
        <v>0</v>
      </c>
    </row>
    <row r="12" spans="1:52" ht="15.75" customHeight="1">
      <c r="B12" s="23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</row>
    <row r="13" spans="1:52" s="425" customFormat="1">
      <c r="A13" s="413" t="s">
        <v>61</v>
      </c>
      <c r="B13" s="422" t="str">
        <f>'Tableau de bord'!B123</f>
        <v>Investissements globaux</v>
      </c>
      <c r="C13" s="268">
        <f>'Tableau de bord'!C123</f>
        <v>2165458.3607580066</v>
      </c>
      <c r="D13" s="269">
        <f>'Tableau de bord'!D123</f>
        <v>4402202.6233634716</v>
      </c>
      <c r="E13" s="269">
        <f>'Tableau de bord'!E123</f>
        <v>5989873.2872378435</v>
      </c>
      <c r="F13" s="269">
        <f>'Tableau de bord'!F123</f>
        <v>7164385.4550032122</v>
      </c>
      <c r="G13" s="269">
        <f>'Tableau de bord'!G123</f>
        <v>7590916.2975509465</v>
      </c>
      <c r="H13" s="269">
        <f>'Tableau de bord'!H123</f>
        <v>7324870.7236418147</v>
      </c>
      <c r="I13" s="269">
        <f>'Tableau de bord'!I123</f>
        <v>6171168.9892721437</v>
      </c>
      <c r="J13" s="269">
        <f>'Tableau de bord'!J123</f>
        <v>5490633.285695672</v>
      </c>
      <c r="K13" s="269">
        <f>'Tableau de bord'!K123</f>
        <v>3755883.8198752422</v>
      </c>
      <c r="L13" s="269">
        <f>'Tableau de bord'!L123</f>
        <v>2179852.6119589629</v>
      </c>
      <c r="M13" s="269">
        <f>'Tableau de bord'!M123</f>
        <v>1522222.6143430988</v>
      </c>
      <c r="N13" s="269">
        <f>'Tableau de bord'!N123</f>
        <v>1199829.5241991647</v>
      </c>
      <c r="O13" s="269">
        <f>'Tableau de bord'!O123</f>
        <v>1036451.2843456276</v>
      </c>
      <c r="P13" s="269">
        <f>'Tableau de bord'!P123</f>
        <v>1020572.0350602327</v>
      </c>
      <c r="Q13" s="269">
        <f>'Tableau de bord'!Q123</f>
        <v>1061394.9164626419</v>
      </c>
      <c r="R13" s="269">
        <f>'Tableau de bord'!R123</f>
        <v>1102217.7978650513</v>
      </c>
      <c r="S13" s="269">
        <f>'Tableau de bord'!S123</f>
        <v>1143040.6792674605</v>
      </c>
      <c r="T13" s="269">
        <f>'Tableau de bord'!T123</f>
        <v>1183863.5606698697</v>
      </c>
      <c r="U13" s="269">
        <f>'Tableau de bord'!U123</f>
        <v>1224686.4420722791</v>
      </c>
      <c r="V13" s="269">
        <f>'Tableau de bord'!V123</f>
        <v>1265509.3234746882</v>
      </c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4"/>
    </row>
    <row r="14" spans="1:52">
      <c r="B14" s="23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1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</row>
    <row r="15" spans="1:52">
      <c r="A15" s="418" t="s">
        <v>44</v>
      </c>
      <c r="B15" s="426"/>
      <c r="C15" s="343">
        <f ca="1">-C27/C28</f>
        <v>2.0389329450912173</v>
      </c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</row>
    <row r="16" spans="1:52">
      <c r="A16" s="418"/>
      <c r="B16" s="426"/>
      <c r="C16" s="427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</row>
    <row r="17" spans="1:52" s="419" customFormat="1">
      <c r="A17" s="418" t="s">
        <v>69</v>
      </c>
      <c r="B17" s="377"/>
      <c r="C17" s="414">
        <f ca="1">'Revenus récurrents'!C15</f>
        <v>953.00455896912683</v>
      </c>
      <c r="D17" s="415">
        <f ca="1">'Revenus récurrents'!D15</f>
        <v>10389.802036796933</v>
      </c>
      <c r="E17" s="415">
        <f ca="1">'Revenus récurrents'!E15</f>
        <v>47228.46545433205</v>
      </c>
      <c r="F17" s="415">
        <f ca="1">'Revenus récurrents'!F15</f>
        <v>141605.65924487312</v>
      </c>
      <c r="G17" s="415">
        <f ca="1">'Revenus récurrents'!G15</f>
        <v>309772.86907275987</v>
      </c>
      <c r="H17" s="415">
        <f ca="1">'Revenus récurrents'!H15</f>
        <v>546695.85700056097</v>
      </c>
      <c r="I17" s="415">
        <f ca="1">'Revenus récurrents'!I15</f>
        <v>824850.85785626317</v>
      </c>
      <c r="J17" s="415">
        <f ca="1">'Revenus récurrents'!J15</f>
        <v>1099845.3071918809</v>
      </c>
      <c r="K17" s="415">
        <f ca="1">'Revenus récurrents'!K15</f>
        <v>1346256.6105612582</v>
      </c>
      <c r="L17" s="415">
        <f ca="1">'Revenus récurrents'!L15</f>
        <v>1542313.9100364048</v>
      </c>
      <c r="M17" s="415">
        <f ca="1">'Revenus récurrents'!M15</f>
        <v>1681625.3280324973</v>
      </c>
      <c r="N17" s="415">
        <f ca="1">'Revenus récurrents'!N15</f>
        <v>1776451.0741354814</v>
      </c>
      <c r="O17" s="415">
        <f ca="1">'Revenus récurrents'!O15</f>
        <v>1830418.6678320174</v>
      </c>
      <c r="P17" s="415">
        <f ca="1">'Revenus récurrents'!P15</f>
        <v>1868293.0565968843</v>
      </c>
      <c r="Q17" s="415">
        <f ca="1">'Revenus récurrents'!Q15</f>
        <v>1904005.421906149</v>
      </c>
      <c r="R17" s="415">
        <f ca="1">'Revenus récurrents'!R15</f>
        <v>1930992.2833890887</v>
      </c>
      <c r="S17" s="415">
        <f ca="1">'Revenus récurrents'!S15</f>
        <v>1958813.5982260755</v>
      </c>
      <c r="T17" s="415">
        <f ca="1">'Revenus récurrents'!T15</f>
        <v>1981753.2118288768</v>
      </c>
      <c r="U17" s="415">
        <f ca="1">'Revenus récurrents'!U15</f>
        <v>2003210.2194848063</v>
      </c>
      <c r="V17" s="415">
        <f ca="1">'Revenus récurrents'!V15</f>
        <v>2022670.1755146473</v>
      </c>
      <c r="W17" s="415">
        <f ca="1">'Revenus récurrents'!W15</f>
        <v>2037280.1781939971</v>
      </c>
      <c r="X17" s="415">
        <f ca="1">'Revenus récurrents'!X15</f>
        <v>2052817.3313835526</v>
      </c>
      <c r="Y17" s="415">
        <f ca="1">'Revenus récurrents'!Y15</f>
        <v>2058824.8943598422</v>
      </c>
      <c r="Z17" s="415">
        <f ca="1">'Revenus récurrents'!Z15</f>
        <v>2058824.8943598422</v>
      </c>
      <c r="AA17" s="415">
        <f ca="1">'Revenus récurrents'!AA15</f>
        <v>2058824.8943598422</v>
      </c>
      <c r="AB17" s="415">
        <f ca="1">'Revenus récurrents'!AB15</f>
        <v>2058824.8943598422</v>
      </c>
      <c r="AC17" s="415">
        <f ca="1">'Revenus récurrents'!AC15</f>
        <v>2058824.8943598422</v>
      </c>
      <c r="AD17" s="415">
        <f ca="1">'Revenus récurrents'!AD15</f>
        <v>2058824.8943598422</v>
      </c>
      <c r="AE17" s="415">
        <f ca="1">'Revenus récurrents'!AE15</f>
        <v>2058824.8943598422</v>
      </c>
      <c r="AF17" s="415">
        <f ca="1">'Revenus récurrents'!AF15</f>
        <v>2058824.8943598422</v>
      </c>
      <c r="AG17" s="415">
        <f ca="1">'Revenus récurrents'!AG15</f>
        <v>2058824.8943598422</v>
      </c>
      <c r="AH17" s="415">
        <f ca="1">'Revenus récurrents'!AH15</f>
        <v>2058824.8943598422</v>
      </c>
      <c r="AI17" s="415">
        <f ca="1">'Revenus récurrents'!AI15</f>
        <v>2058824.8943598422</v>
      </c>
      <c r="AJ17" s="415">
        <f ca="1">'Revenus récurrents'!AJ15</f>
        <v>2058824.8943598422</v>
      </c>
      <c r="AK17" s="415">
        <f ca="1">'Revenus récurrents'!AK15</f>
        <v>2058824.8943598422</v>
      </c>
      <c r="AL17" s="415">
        <f ca="1">'Revenus récurrents'!AL15</f>
        <v>2058824.8943598422</v>
      </c>
      <c r="AM17" s="415">
        <f ca="1">'Revenus récurrents'!AM15</f>
        <v>2058824.8943598422</v>
      </c>
      <c r="AN17" s="415">
        <f ca="1">'Revenus récurrents'!AN15</f>
        <v>2058824.8943598422</v>
      </c>
      <c r="AO17" s="415">
        <f ca="1">'Revenus récurrents'!AO15</f>
        <v>2058824.8943598422</v>
      </c>
      <c r="AP17" s="415">
        <f ca="1">'Revenus récurrents'!AP15</f>
        <v>2058824.8943598422</v>
      </c>
      <c r="AQ17" s="415">
        <f ca="1">'Revenus récurrents'!AQ15</f>
        <v>2058824.8943598422</v>
      </c>
      <c r="AR17" s="415">
        <f ca="1">'Revenus récurrents'!AR15</f>
        <v>2058824.8943598422</v>
      </c>
      <c r="AS17" s="415">
        <f ca="1">'Revenus récurrents'!AS15</f>
        <v>2058824.8943598422</v>
      </c>
      <c r="AT17" s="415">
        <f ca="1">'Revenus récurrents'!AT15</f>
        <v>2058824.8943598422</v>
      </c>
      <c r="AU17" s="415">
        <f ca="1">'Revenus récurrents'!AU15</f>
        <v>2058824.8943598422</v>
      </c>
      <c r="AV17" s="415">
        <f ca="1">'Revenus récurrents'!AV15</f>
        <v>2058824.8943598422</v>
      </c>
      <c r="AW17" s="415">
        <f ca="1">'Revenus récurrents'!AW15</f>
        <v>2058824.8943598422</v>
      </c>
      <c r="AX17" s="415">
        <f ca="1">'Revenus récurrents'!AX15</f>
        <v>2058824.8943598422</v>
      </c>
      <c r="AY17" s="415">
        <f ca="1">'Revenus récurrents'!AY15</f>
        <v>2058824.8943598422</v>
      </c>
      <c r="AZ17" s="416">
        <f ca="1">'Revenus récurrents'!AZ15</f>
        <v>2058824.8943598422</v>
      </c>
    </row>
    <row r="18" spans="1:52" s="419" customFormat="1">
      <c r="A18" s="418" t="s">
        <v>12</v>
      </c>
      <c r="B18" s="428"/>
      <c r="C18" s="414">
        <f ca="1">C10+C11+C17-C13</f>
        <v>-1369305.3561990373</v>
      </c>
      <c r="D18" s="415">
        <f t="shared" ref="D18:AZ18" ca="1" si="36">D10+D11+D17-D13</f>
        <v>-2797212.821326674</v>
      </c>
      <c r="E18" s="415">
        <f t="shared" ca="1" si="36"/>
        <v>-3107189.9940670268</v>
      </c>
      <c r="F18" s="415">
        <f t="shared" ca="1" si="36"/>
        <v>-3021585.7902360358</v>
      </c>
      <c r="G18" s="415">
        <f t="shared" ca="1" si="36"/>
        <v>-3946643.428478186</v>
      </c>
      <c r="H18" s="415">
        <f t="shared" ca="1" si="36"/>
        <v>593338.29371118173</v>
      </c>
      <c r="I18" s="415">
        <f t="shared" ca="1" si="36"/>
        <v>310266.67119872756</v>
      </c>
      <c r="J18" s="415">
        <f t="shared" ca="1" si="36"/>
        <v>1446150.2243729085</v>
      </c>
      <c r="K18" s="415">
        <f t="shared" ca="1" si="36"/>
        <v>6050945.5458082836</v>
      </c>
      <c r="L18" s="415">
        <f t="shared" ca="1" si="36"/>
        <v>3817748.0836531352</v>
      </c>
      <c r="M18" s="415">
        <f t="shared" ca="1" si="36"/>
        <v>4242489.5129603744</v>
      </c>
      <c r="N18" s="415">
        <f t="shared" ca="1" si="36"/>
        <v>790821.54993631667</v>
      </c>
      <c r="O18" s="415">
        <f t="shared" ca="1" si="36"/>
        <v>839867.38348638976</v>
      </c>
      <c r="P18" s="415">
        <f t="shared" ca="1" si="36"/>
        <v>4501646.9495404027</v>
      </c>
      <c r="Q18" s="415">
        <f t="shared" ca="1" si="36"/>
        <v>842610.50544350711</v>
      </c>
      <c r="R18" s="415">
        <f t="shared" ca="1" si="36"/>
        <v>828774.48552403739</v>
      </c>
      <c r="S18" s="415">
        <f t="shared" ca="1" si="36"/>
        <v>815772.91895861505</v>
      </c>
      <c r="T18" s="415">
        <f t="shared" ca="1" si="36"/>
        <v>797889.6511590071</v>
      </c>
      <c r="U18" s="415">
        <f t="shared" ca="1" si="36"/>
        <v>778523.77741252724</v>
      </c>
      <c r="V18" s="415">
        <f t="shared" ca="1" si="36"/>
        <v>757160.85203995905</v>
      </c>
      <c r="W18" s="415">
        <f t="shared" ca="1" si="36"/>
        <v>2044480.1781939971</v>
      </c>
      <c r="X18" s="415">
        <f t="shared" ca="1" si="36"/>
        <v>2064517.3313835526</v>
      </c>
      <c r="Y18" s="415">
        <f t="shared" ca="1" si="36"/>
        <v>2072324.8943598422</v>
      </c>
      <c r="Z18" s="415">
        <f t="shared" ca="1" si="36"/>
        <v>2073224.8943598422</v>
      </c>
      <c r="AA18" s="415">
        <f t="shared" ca="1" si="36"/>
        <v>2072324.8943598422</v>
      </c>
      <c r="AB18" s="415">
        <f t="shared" ca="1" si="36"/>
        <v>2070524.8943598422</v>
      </c>
      <c r="AC18" s="415">
        <f t="shared" ca="1" si="36"/>
        <v>2066924.8943598422</v>
      </c>
      <c r="AD18" s="415">
        <f t="shared" ca="1" si="36"/>
        <v>2066024.8943598422</v>
      </c>
      <c r="AE18" s="415">
        <f t="shared" ca="1" si="36"/>
        <v>2061524.8943598422</v>
      </c>
      <c r="AF18" s="415">
        <f t="shared" ca="1" si="36"/>
        <v>2058824.8943598422</v>
      </c>
      <c r="AG18" s="415">
        <f t="shared" ca="1" si="36"/>
        <v>2058824.8943598422</v>
      </c>
      <c r="AH18" s="415">
        <f t="shared" ca="1" si="36"/>
        <v>2058824.8943598422</v>
      </c>
      <c r="AI18" s="415">
        <f t="shared" ca="1" si="36"/>
        <v>2058824.8943598422</v>
      </c>
      <c r="AJ18" s="415">
        <f t="shared" ca="1" si="36"/>
        <v>2058824.8943598422</v>
      </c>
      <c r="AK18" s="415">
        <f t="shared" ca="1" si="36"/>
        <v>2058824.8943598422</v>
      </c>
      <c r="AL18" s="415">
        <f t="shared" ca="1" si="36"/>
        <v>2058824.8943598422</v>
      </c>
      <c r="AM18" s="415">
        <f t="shared" ca="1" si="36"/>
        <v>2058824.8943598422</v>
      </c>
      <c r="AN18" s="415">
        <f t="shared" ca="1" si="36"/>
        <v>2058824.8943598422</v>
      </c>
      <c r="AO18" s="415">
        <f t="shared" ca="1" si="36"/>
        <v>2058824.8943598422</v>
      </c>
      <c r="AP18" s="415">
        <f t="shared" ca="1" si="36"/>
        <v>2058824.8943598422</v>
      </c>
      <c r="AQ18" s="415">
        <f t="shared" ca="1" si="36"/>
        <v>2066024.8943598422</v>
      </c>
      <c r="AR18" s="415">
        <f t="shared" ca="1" si="36"/>
        <v>2070524.8943598422</v>
      </c>
      <c r="AS18" s="415">
        <f t="shared" ca="1" si="36"/>
        <v>2072324.8943598422</v>
      </c>
      <c r="AT18" s="415">
        <f t="shared" ca="1" si="36"/>
        <v>2073224.8943598422</v>
      </c>
      <c r="AU18" s="415">
        <f t="shared" ca="1" si="36"/>
        <v>2072324.8943598422</v>
      </c>
      <c r="AV18" s="415">
        <f t="shared" ca="1" si="36"/>
        <v>2070524.8943598422</v>
      </c>
      <c r="AW18" s="415">
        <f t="shared" ca="1" si="36"/>
        <v>2066924.8943598422</v>
      </c>
      <c r="AX18" s="415">
        <f t="shared" ca="1" si="36"/>
        <v>2066024.8943598422</v>
      </c>
      <c r="AY18" s="415">
        <f t="shared" ca="1" si="36"/>
        <v>2061524.8943598422</v>
      </c>
      <c r="AZ18" s="416">
        <f t="shared" ca="1" si="36"/>
        <v>2058824.8943598422</v>
      </c>
    </row>
    <row r="19" spans="1:52"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</row>
    <row r="20" spans="1:52">
      <c r="A20" s="418" t="s">
        <v>42</v>
      </c>
      <c r="B20" s="426"/>
      <c r="C20" s="279">
        <f ca="1">SUMPRODUCT((OFFSET(C18,,,1,'Tableau de bord'!B9)),(OFFSET(C8,,,1,'Tableau de bord'!B9)))</f>
        <v>1.6589183360338211E-9</v>
      </c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9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</row>
    <row r="21" spans="1:52" ht="15.75" customHeight="1">
      <c r="A21" s="425"/>
      <c r="B21" s="425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1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</row>
    <row r="22" spans="1:52" ht="15.75" customHeight="1">
      <c r="A22" s="280" t="s">
        <v>21</v>
      </c>
      <c r="B22" s="425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1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</row>
    <row r="23" spans="1:52" hidden="1" outlineLevel="1">
      <c r="A23" s="280"/>
      <c r="B23" s="425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1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</row>
    <row r="24" spans="1:52" hidden="1" outlineLevel="1">
      <c r="A24" s="53" t="s">
        <v>56</v>
      </c>
      <c r="C24" s="307">
        <f ca="1">C10-C13-'Calcul location'!$C$43/'Calcul location'!$C$44*'Revenus récurrents'!C12*12*'Revenus récurrents'!$C$3</f>
        <v>-1370258.3607580063</v>
      </c>
      <c r="D24" s="308">
        <f ca="1">D10-D13-'Calcul location'!$C$43/'Calcul location'!$C$44*'Revenus récurrents'!D12*12*'Revenus récurrents'!$C$3</f>
        <v>-2807602.6233634711</v>
      </c>
      <c r="E24" s="308">
        <f ca="1">E10-E13-'Calcul location'!$C$43/'Calcul location'!$C$44*'Revenus récurrents'!E12*12*'Revenus récurrents'!$C$3</f>
        <v>-3154418.4595213588</v>
      </c>
      <c r="F24" s="308">
        <f ca="1">F10-F13-'Calcul location'!$C$43/'Calcul location'!$C$44*'Revenus récurrents'!F12*12*'Revenus récurrents'!$C$3</f>
        <v>-3163191.4494809089</v>
      </c>
      <c r="G24" s="308">
        <f ca="1">G10-G13-'Calcul location'!$C$43/'Calcul location'!$C$44*'Revenus récurrents'!G12*12*'Revenus récurrents'!$C$3</f>
        <v>-4256416.2975509465</v>
      </c>
      <c r="H24" s="308">
        <f ca="1">H10-H13-'Calcul location'!$C$43/'Calcul location'!$C$44*'Revenus récurrents'!H12*12*'Revenus récurrents'!$C$3</f>
        <v>46642.436710620299</v>
      </c>
      <c r="I24" s="308">
        <f ca="1">I10-I13-'Calcul location'!$C$43/'Calcul location'!$C$44*'Revenus récurrents'!I12*12*'Revenus récurrents'!$C$3</f>
        <v>-514584.18665753584</v>
      </c>
      <c r="J24" s="308">
        <f ca="1">J10-J13-'Calcul location'!$C$43/'Calcul location'!$C$44*'Revenus récurrents'!J12*12*'Revenus récurrents'!$C$3</f>
        <v>346304.91718102805</v>
      </c>
      <c r="K24" s="308">
        <f ca="1">K10-K13-'Calcul location'!$C$43/'Calcul location'!$C$44*'Revenus récurrents'!K12*12*'Revenus récurrents'!$C$3</f>
        <v>4704688.9352470245</v>
      </c>
      <c r="L24" s="308">
        <f ca="1">L10-L13-'Calcul location'!$C$43/'Calcul location'!$C$44*'Revenus récurrents'!L12*12*'Revenus récurrents'!$C$3</f>
        <v>2275434.1736167306</v>
      </c>
      <c r="M24" s="308">
        <f ca="1">M10-M13-'Calcul location'!$C$43/'Calcul location'!$C$44*'Revenus récurrents'!M12*12*'Revenus récurrents'!$C$3</f>
        <v>2560864.1849278775</v>
      </c>
      <c r="N24" s="308">
        <f ca="1">N10-N13-'Calcul location'!$C$43/'Calcul location'!$C$44*'Revenus récurrents'!N12*12*'Revenus récurrents'!$C$3</f>
        <v>-985629.52419916471</v>
      </c>
      <c r="O24" s="308">
        <f ca="1">O10-O13-'Calcul location'!$C$43/'Calcul location'!$C$44*'Revenus récurrents'!O12*12*'Revenus récurrents'!$C$3</f>
        <v>-990551.28434562765</v>
      </c>
      <c r="P24" s="308">
        <f ca="1">P10-P13-'Calcul location'!$C$43/'Calcul location'!$C$44*'Revenus récurrents'!P12*12*'Revenus récurrents'!$C$3</f>
        <v>2633353.8929435182</v>
      </c>
      <c r="Q24" s="308">
        <f ca="1">Q10-Q13-'Calcul location'!$C$43/'Calcul location'!$C$44*'Revenus récurrents'!Q12*12*'Revenus récurrents'!$C$3</f>
        <v>-1061394.9164626419</v>
      </c>
      <c r="R24" s="308">
        <f ca="1">R10-R13-'Calcul location'!$C$43/'Calcul location'!$C$44*'Revenus récurrents'!R12*12*'Revenus récurrents'!$C$3</f>
        <v>-1102217.7978650513</v>
      </c>
      <c r="S24" s="308">
        <f ca="1">S10-S13-'Calcul location'!$C$43/'Calcul location'!$C$44*'Revenus récurrents'!S12*12*'Revenus récurrents'!$C$3</f>
        <v>-1143040.6792674605</v>
      </c>
      <c r="T24" s="308">
        <f ca="1">T10-T13-'Calcul location'!$C$43/'Calcul location'!$C$44*'Revenus récurrents'!T12*12*'Revenus récurrents'!$C$3</f>
        <v>-1183863.5606698697</v>
      </c>
      <c r="U24" s="308">
        <f ca="1">U10-U13-'Calcul location'!$C$43/'Calcul location'!$C$44*'Revenus récurrents'!U12*12*'Revenus récurrents'!$C$3</f>
        <v>-1224686.4420722791</v>
      </c>
      <c r="V24" s="308">
        <f ca="1">V10-V13-'Calcul location'!$C$43/'Calcul location'!$C$44*'Revenus récurrents'!V12*12*'Revenus récurrents'!$C$3</f>
        <v>-1265509.3234746882</v>
      </c>
      <c r="W24" s="308">
        <f ca="1">W10-W13-'Calcul location'!$C$43/'Calcul location'!$C$44*'Revenus récurrents'!W12*12*'Revenus récurrents'!$C$3</f>
        <v>7200.0000000000018</v>
      </c>
      <c r="X24" s="308">
        <f ca="1">X10-X13-'Calcul location'!$C$43/'Calcul location'!$C$44*'Revenus récurrents'!X12*12*'Revenus récurrents'!$C$3</f>
        <v>11700.000000000004</v>
      </c>
      <c r="Y24" s="308">
        <f ca="1">Y10-Y13-'Calcul location'!$C$43/'Calcul location'!$C$44*'Revenus récurrents'!Y12*12*'Revenus récurrents'!$C$3</f>
        <v>13500.000000000004</v>
      </c>
      <c r="Z24" s="308">
        <f ca="1">Z10-Z13-'Calcul location'!$C$43/'Calcul location'!$C$44*'Revenus récurrents'!Z12*12*'Revenus récurrents'!$C$3</f>
        <v>14400.000000000004</v>
      </c>
      <c r="AA24" s="308">
        <f ca="1">AA10-AA13-'Calcul location'!$C$43/'Calcul location'!$C$44*'Revenus récurrents'!AA12*12*'Revenus récurrents'!$C$3</f>
        <v>13500.000000000004</v>
      </c>
      <c r="AB24" s="308">
        <f ca="1">AB10-AB13-'Calcul location'!$C$43/'Calcul location'!$C$44*'Revenus récurrents'!AB12*12*'Revenus récurrents'!$C$3</f>
        <v>11700.000000000004</v>
      </c>
      <c r="AC24" s="308">
        <f ca="1">AC10-AC13-'Calcul location'!$C$43/'Calcul location'!$C$44*'Revenus récurrents'!AC12*12*'Revenus récurrents'!$C$3</f>
        <v>8100.0000000000018</v>
      </c>
      <c r="AD24" s="308">
        <f ca="1">AD10-AD13-'Calcul location'!$C$43/'Calcul location'!$C$44*'Revenus récurrents'!AD12*12*'Revenus récurrents'!$C$3</f>
        <v>7200.0000000000018</v>
      </c>
      <c r="AE24" s="308">
        <f ca="1">AE10-AE13-'Calcul location'!$C$43/'Calcul location'!$C$44*'Revenus récurrents'!AE12*12*'Revenus récurrents'!$C$3</f>
        <v>2700.0000000000009</v>
      </c>
      <c r="AF24" s="308">
        <f ca="1">AF10-AF13-'Calcul location'!$C$43/'Calcul location'!$C$44*'Revenus récurrents'!AF12*12*'Revenus récurrents'!$C$3</f>
        <v>0</v>
      </c>
      <c r="AG24" s="308">
        <f ca="1">AG10-AG13-'Calcul location'!$C$43/'Calcul location'!$C$44*'Revenus récurrents'!AG12*12*'Revenus récurrents'!$C$3</f>
        <v>0</v>
      </c>
      <c r="AH24" s="308">
        <f ca="1">AH10-AH13-'Calcul location'!$C$43/'Calcul location'!$C$44*'Revenus récurrents'!AH12*12*'Revenus récurrents'!$C$3</f>
        <v>0</v>
      </c>
      <c r="AI24" s="308">
        <f ca="1">AI10-AI13-'Calcul location'!$C$43/'Calcul location'!$C$44*'Revenus récurrents'!AI12*12*'Revenus récurrents'!$C$3</f>
        <v>0</v>
      </c>
      <c r="AJ24" s="308">
        <f ca="1">AJ10-AJ13-'Calcul location'!$C$43/'Calcul location'!$C$44*'Revenus récurrents'!AJ12*12*'Revenus récurrents'!$C$3</f>
        <v>0</v>
      </c>
      <c r="AK24" s="308">
        <f ca="1">AK10-AK13-'Calcul location'!$C$43/'Calcul location'!$C$44*'Revenus récurrents'!AK12*12*'Revenus récurrents'!$C$3</f>
        <v>0</v>
      </c>
      <c r="AL24" s="308">
        <f ca="1">AL10-AL13-'Calcul location'!$C$43/'Calcul location'!$C$44*'Revenus récurrents'!AL12*12*'Revenus récurrents'!$C$3</f>
        <v>0</v>
      </c>
      <c r="AM24" s="308">
        <f ca="1">AM10-AM13-'Calcul location'!$C$43/'Calcul location'!$C$44*'Revenus récurrents'!AM12*12*'Revenus récurrents'!$C$3</f>
        <v>0</v>
      </c>
      <c r="AN24" s="308">
        <f ca="1">AN10-AN13-'Calcul location'!$C$43/'Calcul location'!$C$44*'Revenus récurrents'!AN12*12*'Revenus récurrents'!$C$3</f>
        <v>0</v>
      </c>
      <c r="AO24" s="308">
        <f ca="1">AO10-AO13-'Calcul location'!$C$43/'Calcul location'!$C$44*'Revenus récurrents'!AO12*12*'Revenus récurrents'!$C$3</f>
        <v>0</v>
      </c>
      <c r="AP24" s="308">
        <f ca="1">AP10-AP13-'Calcul location'!$C$43/'Calcul location'!$C$44*'Revenus récurrents'!AP12*12*'Revenus récurrents'!$C$3</f>
        <v>0</v>
      </c>
      <c r="AQ24" s="308">
        <f ca="1">AQ10-AQ13-'Calcul location'!$C$43/'Calcul location'!$C$44*'Revenus récurrents'!AQ12*12*'Revenus récurrents'!$C$3</f>
        <v>7200.0000000000018</v>
      </c>
      <c r="AR24" s="308">
        <f ca="1">AR10-AR13-'Calcul location'!$C$43/'Calcul location'!$C$44*'Revenus récurrents'!AR12*12*'Revenus récurrents'!$C$3</f>
        <v>11700.000000000004</v>
      </c>
      <c r="AS24" s="308">
        <f ca="1">AS10-AS13-'Calcul location'!$C$43/'Calcul location'!$C$44*'Revenus récurrents'!AS12*12*'Revenus récurrents'!$C$3</f>
        <v>13500.000000000004</v>
      </c>
      <c r="AT24" s="308">
        <f ca="1">AT10-AT13-'Calcul location'!$C$43/'Calcul location'!$C$44*'Revenus récurrents'!AT12*12*'Revenus récurrents'!$C$3</f>
        <v>14400.000000000004</v>
      </c>
      <c r="AU24" s="308">
        <f ca="1">AU10-AU13-'Calcul location'!$C$43/'Calcul location'!$C$44*'Revenus récurrents'!AU12*12*'Revenus récurrents'!$C$3</f>
        <v>13500.000000000004</v>
      </c>
      <c r="AV24" s="308">
        <f ca="1">AV10-AV13-'Calcul location'!$C$43/'Calcul location'!$C$44*'Revenus récurrents'!AV12*12*'Revenus récurrents'!$C$3</f>
        <v>11700.000000000004</v>
      </c>
      <c r="AW24" s="308">
        <f ca="1">AW10-AW13-'Calcul location'!$C$43/'Calcul location'!$C$44*'Revenus récurrents'!AW12*12*'Revenus récurrents'!$C$3</f>
        <v>8100.0000000000018</v>
      </c>
      <c r="AX24" s="308">
        <f ca="1">AX10-AX13-'Calcul location'!$C$43/'Calcul location'!$C$44*'Revenus récurrents'!AX12*12*'Revenus récurrents'!$C$3</f>
        <v>7200.0000000000018</v>
      </c>
      <c r="AY24" s="308">
        <f ca="1">AY10-AY13-'Calcul location'!$C$43/'Calcul location'!$C$44*'Revenus récurrents'!AY12*12*'Revenus récurrents'!$C$3</f>
        <v>2700.0000000000009</v>
      </c>
      <c r="AZ24" s="309">
        <f ca="1">AZ10-AZ13-'Calcul location'!$C$43/'Calcul location'!$C$44*'Revenus récurrents'!AZ12*12*'Revenus récurrents'!$C$3</f>
        <v>0</v>
      </c>
    </row>
    <row r="25" spans="1:52" hidden="1" outlineLevel="1">
      <c r="A25" s="418" t="s">
        <v>62</v>
      </c>
      <c r="B25" s="425"/>
      <c r="C25" s="307">
        <f>'Revenus récurrents'!C13*12*'Revenus récurrents'!$C$3</f>
        <v>467.40358051671552</v>
      </c>
      <c r="D25" s="308">
        <f>'Revenus récurrents'!D13*12*'Revenus récurrents'!$C$3</f>
        <v>5095.7056051355903</v>
      </c>
      <c r="E25" s="308">
        <f>'Revenus récurrents'!E13*12*'Revenus récurrents'!$C$3</f>
        <v>23163.324506593402</v>
      </c>
      <c r="F25" s="308">
        <f>'Revenus récurrents'!F13*12*'Revenus récurrents'!$C$3</f>
        <v>69450.866241478085</v>
      </c>
      <c r="G25" s="308">
        <f>'Revenus récurrents'!G13*12*'Revenus récurrents'!$C$3</f>
        <v>151928.91449350794</v>
      </c>
      <c r="H25" s="308">
        <f>'Revenus récurrents'!H13*12*'Revenus récurrents'!$C$3</f>
        <v>268128.41408872476</v>
      </c>
      <c r="I25" s="308">
        <f>'Revenus récurrents'!I13*12*'Revenus récurrents'!$C$3</f>
        <v>404550.26235272357</v>
      </c>
      <c r="J25" s="308">
        <f>'Revenus récurrents'!J13*12*'Revenus récurrents'!$C$3</f>
        <v>539422.00985068514</v>
      </c>
      <c r="K25" s="308">
        <f>'Revenus récurrents'!K13*12*'Revenus récurrents'!$C$3</f>
        <v>660275.07859069377</v>
      </c>
      <c r="L25" s="308">
        <f>'Revenus récurrents'!L13*12*'Revenus récurrents'!$C$3</f>
        <v>756431.89431489876</v>
      </c>
      <c r="M25" s="308">
        <f>'Revenus récurrents'!M13*12*'Revenus récurrents'!$C$3</f>
        <v>824757.54393054114</v>
      </c>
      <c r="N25" s="308">
        <f>'Revenus récurrents'!N13*12*'Revenus récurrents'!$C$3</f>
        <v>871265.07932118711</v>
      </c>
      <c r="O25" s="308">
        <f>'Revenus récurrents'!O13*12*'Revenus récurrents'!$C$3</f>
        <v>897733.6269144098</v>
      </c>
      <c r="P25" s="308">
        <f>'Revenus récurrents'!P13*12*'Revenus récurrents'!$C$3</f>
        <v>916309.22002356534</v>
      </c>
      <c r="Q25" s="308">
        <f>'Revenus récurrents'!Q13*12*'Revenus récurrents'!$C$3</f>
        <v>933824.44306964101</v>
      </c>
      <c r="R25" s="308">
        <f>'Revenus récurrents'!R13*12*'Revenus récurrents'!$C$3</f>
        <v>947060.21992434876</v>
      </c>
      <c r="S25" s="308">
        <f>'Revenus récurrents'!S13*12*'Revenus récurrents'!$C$3</f>
        <v>960705.25661080168</v>
      </c>
      <c r="T25" s="308">
        <f>'Revenus récurrents'!T13*12*'Revenus récurrents'!$C$3</f>
        <v>971956.05014868104</v>
      </c>
      <c r="U25" s="308">
        <f>'Revenus récurrents'!U13*12*'Revenus récurrents'!$C$3</f>
        <v>982479.69571906992</v>
      </c>
      <c r="V25" s="308">
        <f>'Revenus récurrents'!V13*12*'Revenus récurrents'!$C$3</f>
        <v>992023.8820919916</v>
      </c>
      <c r="W25" s="308">
        <f>'Revenus récurrents'!W13*12*'Revenus récurrents'!$C$3</f>
        <v>999189.39614900074</v>
      </c>
      <c r="X25" s="308">
        <f>'Revenus récurrents'!X13*12*'Revenus récurrents'!$C$3</f>
        <v>1006809.6336006352</v>
      </c>
      <c r="Y25" s="308">
        <f>'Revenus récurrents'!Y13*12*'Revenus récurrents'!$C$3</f>
        <v>1009756.0585876624</v>
      </c>
      <c r="Z25" s="308">
        <f>'Revenus récurrents'!Z13*12*'Revenus récurrents'!$C$3</f>
        <v>1009756.0585876624</v>
      </c>
      <c r="AA25" s="308">
        <f>'Revenus récurrents'!AA13*12*'Revenus récurrents'!$C$3</f>
        <v>1009756.0585876624</v>
      </c>
      <c r="AB25" s="308">
        <f>'Revenus récurrents'!AB13*12*'Revenus récurrents'!$C$3</f>
        <v>1009756.0585876624</v>
      </c>
      <c r="AC25" s="308">
        <f>'Revenus récurrents'!AC13*12*'Revenus récurrents'!$C$3</f>
        <v>1009756.0585876624</v>
      </c>
      <c r="AD25" s="308">
        <f>'Revenus récurrents'!AD13*12*'Revenus récurrents'!$C$3</f>
        <v>1009756.0585876624</v>
      </c>
      <c r="AE25" s="308">
        <f>'Revenus récurrents'!AE13*12*'Revenus récurrents'!$C$3</f>
        <v>1009756.0585876624</v>
      </c>
      <c r="AF25" s="308">
        <f>'Revenus récurrents'!AF13*12*'Revenus récurrents'!$C$3</f>
        <v>1009756.0585876624</v>
      </c>
      <c r="AG25" s="308">
        <f>'Revenus récurrents'!AG13*12*'Revenus récurrents'!$C$3</f>
        <v>1009756.0585876624</v>
      </c>
      <c r="AH25" s="308">
        <f>'Revenus récurrents'!AH13*12*'Revenus récurrents'!$C$3</f>
        <v>1009756.0585876624</v>
      </c>
      <c r="AI25" s="308">
        <f>'Revenus récurrents'!AI13*12*'Revenus récurrents'!$C$3</f>
        <v>1009756.0585876624</v>
      </c>
      <c r="AJ25" s="308">
        <f>'Revenus récurrents'!AJ13*12*'Revenus récurrents'!$C$3</f>
        <v>1009756.0585876624</v>
      </c>
      <c r="AK25" s="308">
        <f>'Revenus récurrents'!AK13*12*'Revenus récurrents'!$C$3</f>
        <v>1009756.0585876624</v>
      </c>
      <c r="AL25" s="308">
        <f>'Revenus récurrents'!AL13*12*'Revenus récurrents'!$C$3</f>
        <v>1009756.0585876624</v>
      </c>
      <c r="AM25" s="308">
        <f>'Revenus récurrents'!AM13*12*'Revenus récurrents'!$C$3</f>
        <v>1009756.0585876624</v>
      </c>
      <c r="AN25" s="308">
        <f>'Revenus récurrents'!AN13*12*'Revenus récurrents'!$C$3</f>
        <v>1009756.0585876624</v>
      </c>
      <c r="AO25" s="308">
        <f>'Revenus récurrents'!AO13*12*'Revenus récurrents'!$C$3</f>
        <v>1009756.0585876624</v>
      </c>
      <c r="AP25" s="308">
        <f>'Revenus récurrents'!AP13*12*'Revenus récurrents'!$C$3</f>
        <v>1009756.0585876624</v>
      </c>
      <c r="AQ25" s="308">
        <f>'Revenus récurrents'!AQ13*12*'Revenus récurrents'!$C$3</f>
        <v>1009756.0585876624</v>
      </c>
      <c r="AR25" s="308">
        <f>'Revenus récurrents'!AR13*12*'Revenus récurrents'!$C$3</f>
        <v>1009756.0585876624</v>
      </c>
      <c r="AS25" s="308">
        <f>'Revenus récurrents'!AS13*12*'Revenus récurrents'!$C$3</f>
        <v>1009756.0585876624</v>
      </c>
      <c r="AT25" s="308">
        <f>'Revenus récurrents'!AT13*12*'Revenus récurrents'!$C$3</f>
        <v>1009756.0585876624</v>
      </c>
      <c r="AU25" s="308">
        <f>'Revenus récurrents'!AU13*12*'Revenus récurrents'!$C$3</f>
        <v>1009756.0585876624</v>
      </c>
      <c r="AV25" s="308">
        <f>'Revenus récurrents'!AV13*12*'Revenus récurrents'!$C$3</f>
        <v>1009756.0585876624</v>
      </c>
      <c r="AW25" s="308">
        <f>'Revenus récurrents'!AW13*12*'Revenus récurrents'!$C$3</f>
        <v>1009756.0585876624</v>
      </c>
      <c r="AX25" s="308">
        <f>'Revenus récurrents'!AX13*12*'Revenus récurrents'!$C$3</f>
        <v>1009756.0585876624</v>
      </c>
      <c r="AY25" s="308">
        <f>'Revenus récurrents'!AY13*12*'Revenus récurrents'!$C$3</f>
        <v>1009756.0585876624</v>
      </c>
      <c r="AZ25" s="309">
        <f>'Revenus récurrents'!AZ13*12*'Revenus récurrents'!$C$3</f>
        <v>1009756.0585876624</v>
      </c>
    </row>
    <row r="26" spans="1:52" hidden="1" outlineLevel="1">
      <c r="A26" s="418" t="s">
        <v>63</v>
      </c>
      <c r="B26" s="425"/>
      <c r="C26" s="307">
        <f>'Revenus récurrents'!C12*12*'Revenus récurrents'!$C$3</f>
        <v>0</v>
      </c>
      <c r="D26" s="308">
        <f>'Revenus récurrents'!D12*12*'Revenus récurrents'!$C$3</f>
        <v>0</v>
      </c>
      <c r="E26" s="308">
        <f>'Revenus récurrents'!E12*12*'Revenus récurrents'!$C$3</f>
        <v>0</v>
      </c>
      <c r="F26" s="308">
        <f>'Revenus récurrents'!F12*12*'Revenus récurrents'!$C$3</f>
        <v>0</v>
      </c>
      <c r="G26" s="308">
        <f>'Revenus récurrents'!G12*12*'Revenus récurrents'!$C$3</f>
        <v>0</v>
      </c>
      <c r="H26" s="308">
        <f>'Revenus récurrents'!H12*12*'Revenus récurrents'!$C$3</f>
        <v>0</v>
      </c>
      <c r="I26" s="308">
        <f>'Revenus récurrents'!I12*12*'Revenus récurrents'!$C$3</f>
        <v>0</v>
      </c>
      <c r="J26" s="308">
        <f>'Revenus récurrents'!J12*12*'Revenus récurrents'!$C$3</f>
        <v>0</v>
      </c>
      <c r="K26" s="308">
        <f>'Revenus récurrents'!K12*12*'Revenus récurrents'!$C$3</f>
        <v>0</v>
      </c>
      <c r="L26" s="308">
        <f>'Revenus récurrents'!L12*12*'Revenus récurrents'!$C$3</f>
        <v>0</v>
      </c>
      <c r="M26" s="308">
        <f>'Revenus récurrents'!M12*12*'Revenus récurrents'!$C$3</f>
        <v>0</v>
      </c>
      <c r="N26" s="308">
        <f>'Revenus récurrents'!N12*12*'Revenus récurrents'!$C$3</f>
        <v>0</v>
      </c>
      <c r="O26" s="308">
        <f>'Revenus récurrents'!O12*12*'Revenus récurrents'!$C$3</f>
        <v>0</v>
      </c>
      <c r="P26" s="308">
        <f>'Revenus récurrents'!P12*12*'Revenus récurrents'!$C$3</f>
        <v>0</v>
      </c>
      <c r="Q26" s="308">
        <f>'Revenus récurrents'!Q12*12*'Revenus récurrents'!$C$3</f>
        <v>0</v>
      </c>
      <c r="R26" s="308">
        <f>'Revenus récurrents'!R12*12*'Revenus récurrents'!$C$3</f>
        <v>0</v>
      </c>
      <c r="S26" s="308">
        <f>'Revenus récurrents'!S12*12*'Revenus récurrents'!$C$3</f>
        <v>0</v>
      </c>
      <c r="T26" s="308">
        <f>'Revenus récurrents'!T12*12*'Revenus récurrents'!$C$3</f>
        <v>0</v>
      </c>
      <c r="U26" s="308">
        <f>'Revenus récurrents'!U12*12*'Revenus récurrents'!$C$3</f>
        <v>0</v>
      </c>
      <c r="V26" s="308">
        <f>'Revenus récurrents'!V12*12*'Revenus récurrents'!$C$3</f>
        <v>0</v>
      </c>
      <c r="W26" s="308">
        <f>'Revenus récurrents'!W12*12*'Revenus récurrents'!$C$3</f>
        <v>0</v>
      </c>
      <c r="X26" s="308">
        <f>'Revenus récurrents'!X12*12*'Revenus récurrents'!$C$3</f>
        <v>0</v>
      </c>
      <c r="Y26" s="308">
        <f>'Revenus récurrents'!Y12*12*'Revenus récurrents'!$C$3</f>
        <v>0</v>
      </c>
      <c r="Z26" s="308">
        <f>'Revenus récurrents'!Z12*12*'Revenus récurrents'!$C$3</f>
        <v>0</v>
      </c>
      <c r="AA26" s="308">
        <f>'Revenus récurrents'!AA12*12*'Revenus récurrents'!$C$3</f>
        <v>0</v>
      </c>
      <c r="AB26" s="308">
        <f>'Revenus récurrents'!AB12*12*'Revenus récurrents'!$C$3</f>
        <v>0</v>
      </c>
      <c r="AC26" s="308">
        <f>'Revenus récurrents'!AC12*12*'Revenus récurrents'!$C$3</f>
        <v>0</v>
      </c>
      <c r="AD26" s="308">
        <f>'Revenus récurrents'!AD12*12*'Revenus récurrents'!$C$3</f>
        <v>0</v>
      </c>
      <c r="AE26" s="308">
        <f>'Revenus récurrents'!AE12*12*'Revenus récurrents'!$C$3</f>
        <v>0</v>
      </c>
      <c r="AF26" s="308">
        <f>'Revenus récurrents'!AF12*12*'Revenus récurrents'!$C$3</f>
        <v>0</v>
      </c>
      <c r="AG26" s="308">
        <f>'Revenus récurrents'!AG12*12*'Revenus récurrents'!$C$3</f>
        <v>0</v>
      </c>
      <c r="AH26" s="308">
        <f>'Revenus récurrents'!AH12*12*'Revenus récurrents'!$C$3</f>
        <v>0</v>
      </c>
      <c r="AI26" s="308">
        <f>'Revenus récurrents'!AI12*12*'Revenus récurrents'!$C$3</f>
        <v>0</v>
      </c>
      <c r="AJ26" s="308">
        <f>'Revenus récurrents'!AJ12*12*'Revenus récurrents'!$C$3</f>
        <v>0</v>
      </c>
      <c r="AK26" s="308">
        <f>'Revenus récurrents'!AK12*12*'Revenus récurrents'!$C$3</f>
        <v>0</v>
      </c>
      <c r="AL26" s="308">
        <f>'Revenus récurrents'!AL12*12*'Revenus récurrents'!$C$3</f>
        <v>0</v>
      </c>
      <c r="AM26" s="308">
        <f>'Revenus récurrents'!AM12*12*'Revenus récurrents'!$C$3</f>
        <v>0</v>
      </c>
      <c r="AN26" s="308">
        <f>'Revenus récurrents'!AN12*12*'Revenus récurrents'!$C$3</f>
        <v>0</v>
      </c>
      <c r="AO26" s="308">
        <f>'Revenus récurrents'!AO12*12*'Revenus récurrents'!$C$3</f>
        <v>0</v>
      </c>
      <c r="AP26" s="308">
        <f>'Revenus récurrents'!AP12*12*'Revenus récurrents'!$C$3</f>
        <v>0</v>
      </c>
      <c r="AQ26" s="308">
        <f>'Revenus récurrents'!AQ12*12*'Revenus récurrents'!$C$3</f>
        <v>0</v>
      </c>
      <c r="AR26" s="308">
        <f>'Revenus récurrents'!AR12*12*'Revenus récurrents'!$C$3</f>
        <v>0</v>
      </c>
      <c r="AS26" s="308">
        <f>'Revenus récurrents'!AS12*12*'Revenus récurrents'!$C$3</f>
        <v>0</v>
      </c>
      <c r="AT26" s="308">
        <f>'Revenus récurrents'!AT12*12*'Revenus récurrents'!$C$3</f>
        <v>0</v>
      </c>
      <c r="AU26" s="308">
        <f>'Revenus récurrents'!AU12*12*'Revenus récurrents'!$C$3</f>
        <v>0</v>
      </c>
      <c r="AV26" s="308">
        <f>'Revenus récurrents'!AV12*12*'Revenus récurrents'!$C$3</f>
        <v>0</v>
      </c>
      <c r="AW26" s="308">
        <f>'Revenus récurrents'!AW12*12*'Revenus récurrents'!$C$3</f>
        <v>0</v>
      </c>
      <c r="AX26" s="308">
        <f>'Revenus récurrents'!AX12*12*'Revenus récurrents'!$C$3</f>
        <v>0</v>
      </c>
      <c r="AY26" s="308">
        <f>'Revenus récurrents'!AY12*12*'Revenus récurrents'!$C$3</f>
        <v>0</v>
      </c>
      <c r="AZ26" s="309">
        <f>'Revenus récurrents'!AZ12*12*'Revenus récurrents'!$C$3</f>
        <v>0</v>
      </c>
    </row>
    <row r="27" spans="1:52" hidden="1" outlineLevel="1">
      <c r="A27" s="418" t="s">
        <v>39</v>
      </c>
      <c r="B27" s="425" t="s">
        <v>40</v>
      </c>
      <c r="C27" s="432">
        <f ca="1">SUMPRODUCT((OFFSET(C24,,,1,'Tableau de bord'!B9)),(OFFSET(C8,,,1,'Tableau de bord'!B9)))</f>
        <v>-9087037.4139788747</v>
      </c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</row>
    <row r="28" spans="1:52" hidden="1" outlineLevel="1">
      <c r="A28" s="425"/>
      <c r="B28" s="425" t="s">
        <v>41</v>
      </c>
      <c r="C28" s="432">
        <f ca="1">SUMPRODUCT((OFFSET(C25,,,1,'Tableau de bord'!B9)),(OFFSET(C8,,,1,'Tableau de bord'!B9)))+SUMPRODUCT((OFFSET(C26,,,1,'Tableau de bord'!B9)),(OFFSET(C8,,,1,'Tableau de bord'!B9)))</f>
        <v>4456761.2857775176</v>
      </c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</row>
    <row r="29" spans="1:52" collapsed="1">
      <c r="A29" s="425"/>
      <c r="B29" s="259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</row>
    <row r="30" spans="1:52">
      <c r="A30" s="425"/>
      <c r="B30" s="425"/>
    </row>
    <row r="31" spans="1:52">
      <c r="A31" s="425"/>
      <c r="B31" s="425"/>
    </row>
    <row r="32" spans="1:52">
      <c r="A32" s="259"/>
      <c r="B32" s="433"/>
    </row>
    <row r="33" spans="1:2">
      <c r="A33" s="259"/>
      <c r="B33" s="425"/>
    </row>
    <row r="34" spans="1:2">
      <c r="A34" s="259"/>
      <c r="B34" s="259"/>
    </row>
    <row r="35" spans="1:2">
      <c r="A35" s="259"/>
      <c r="B35" s="259"/>
    </row>
    <row r="36" spans="1:2">
      <c r="A36" s="259"/>
      <c r="B36" s="259"/>
    </row>
    <row r="37" spans="1:2">
      <c r="A37" s="259"/>
      <c r="B37" s="259"/>
    </row>
    <row r="38" spans="1:2">
      <c r="A38" s="259"/>
      <c r="B38" s="259"/>
    </row>
    <row r="39" spans="1:2">
      <c r="A39" s="259"/>
      <c r="B39" s="259"/>
    </row>
    <row r="40" spans="1:2">
      <c r="A40" s="259"/>
      <c r="B40" s="259"/>
    </row>
    <row r="41" spans="1:2">
      <c r="A41" s="259"/>
      <c r="B41" s="259"/>
    </row>
    <row r="42" spans="1:2">
      <c r="A42" s="259"/>
      <c r="B42" s="259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00B050"/>
  </sheetPr>
  <dimension ref="A1:AZ20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2.75" outlineLevelRow="1"/>
  <cols>
    <col min="1" max="1" width="47.5703125" style="67" bestFit="1" customWidth="1"/>
    <col min="2" max="2" width="22.140625" style="259" bestFit="1" customWidth="1"/>
    <col min="3" max="31" width="14.28515625" style="67" customWidth="1"/>
    <col min="32" max="52" width="14.28515625" style="252" customWidth="1"/>
    <col min="53" max="16384" width="11.42578125" style="67"/>
  </cols>
  <sheetData>
    <row r="1" spans="1:52">
      <c r="B1" s="258" t="s">
        <v>92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</row>
    <row r="2" spans="1:52">
      <c r="A2" s="260" t="s">
        <v>7</v>
      </c>
      <c r="B2" s="261"/>
      <c r="C2" s="262">
        <v>1</v>
      </c>
      <c r="D2" s="262">
        <v>2</v>
      </c>
      <c r="E2" s="262">
        <v>3</v>
      </c>
      <c r="F2" s="262">
        <v>4</v>
      </c>
      <c r="G2" s="262">
        <v>5</v>
      </c>
      <c r="H2" s="262">
        <v>6</v>
      </c>
      <c r="I2" s="262">
        <v>7</v>
      </c>
      <c r="J2" s="262">
        <v>8</v>
      </c>
      <c r="K2" s="262">
        <v>9</v>
      </c>
      <c r="L2" s="262">
        <v>10</v>
      </c>
      <c r="M2" s="262">
        <v>11</v>
      </c>
      <c r="N2" s="262">
        <v>12</v>
      </c>
      <c r="O2" s="262">
        <v>13</v>
      </c>
      <c r="P2" s="262">
        <v>14</v>
      </c>
      <c r="Q2" s="262">
        <v>15</v>
      </c>
      <c r="R2" s="262">
        <v>16</v>
      </c>
      <c r="S2" s="262">
        <v>17</v>
      </c>
      <c r="T2" s="262">
        <v>18</v>
      </c>
      <c r="U2" s="262">
        <v>19</v>
      </c>
      <c r="V2" s="262">
        <v>20</v>
      </c>
      <c r="W2" s="262">
        <v>21</v>
      </c>
      <c r="X2" s="262">
        <v>22</v>
      </c>
      <c r="Y2" s="262">
        <v>23</v>
      </c>
      <c r="Z2" s="262">
        <v>24</v>
      </c>
      <c r="AA2" s="262">
        <v>25</v>
      </c>
      <c r="AB2" s="262">
        <v>26</v>
      </c>
      <c r="AC2" s="262">
        <v>27</v>
      </c>
      <c r="AD2" s="262">
        <v>28</v>
      </c>
      <c r="AE2" s="262">
        <v>29</v>
      </c>
      <c r="AF2" s="263">
        <v>30</v>
      </c>
      <c r="AG2" s="263">
        <v>31</v>
      </c>
      <c r="AH2" s="263">
        <v>32</v>
      </c>
      <c r="AI2" s="263">
        <v>33</v>
      </c>
      <c r="AJ2" s="263">
        <v>34</v>
      </c>
      <c r="AK2" s="263">
        <v>35</v>
      </c>
      <c r="AL2" s="263">
        <v>36</v>
      </c>
      <c r="AM2" s="263">
        <v>37</v>
      </c>
      <c r="AN2" s="263">
        <v>38</v>
      </c>
      <c r="AO2" s="263">
        <v>39</v>
      </c>
      <c r="AP2" s="263">
        <v>40</v>
      </c>
      <c r="AQ2" s="263">
        <v>41</v>
      </c>
      <c r="AR2" s="263">
        <v>42</v>
      </c>
      <c r="AS2" s="263">
        <v>43</v>
      </c>
      <c r="AT2" s="263">
        <v>44</v>
      </c>
      <c r="AU2" s="263">
        <v>45</v>
      </c>
      <c r="AV2" s="263">
        <v>46</v>
      </c>
      <c r="AW2" s="263">
        <v>47</v>
      </c>
      <c r="AX2" s="263">
        <v>48</v>
      </c>
      <c r="AY2" s="263">
        <v>49</v>
      </c>
      <c r="AZ2" s="263">
        <v>50</v>
      </c>
    </row>
    <row r="3" spans="1:52">
      <c r="A3" s="260" t="s">
        <v>13</v>
      </c>
      <c r="B3" s="261"/>
      <c r="C3" s="264">
        <f>'Calcul de la réserve'!C8</f>
        <v>1</v>
      </c>
      <c r="D3" s="265">
        <f>'Calcul de la réserve'!D8</f>
        <v>0.9085201793721972</v>
      </c>
      <c r="E3" s="265">
        <f>'Calcul de la réserve'!E8</f>
        <v>0.82540891632648938</v>
      </c>
      <c r="F3" s="265">
        <f>'Calcul de la réserve'!F8</f>
        <v>0.74990065671635309</v>
      </c>
      <c r="G3" s="265">
        <f>'Calcul de la réserve'!G8</f>
        <v>0.68129987915126955</v>
      </c>
      <c r="H3" s="265">
        <f>'Calcul de la réserve'!H8</f>
        <v>0.6189746884127677</v>
      </c>
      <c r="I3" s="265">
        <f>'Calcul de la réserve'!I8</f>
        <v>0.56235099494361762</v>
      </c>
      <c r="J3" s="265">
        <f>'Calcul de la réserve'!J8</f>
        <v>0.51090722679630907</v>
      </c>
      <c r="K3" s="265">
        <f>'Calcul de la réserve'!K8</f>
        <v>0.46416952533153455</v>
      </c>
      <c r="L3" s="265">
        <f>'Calcul de la réserve'!L8</f>
        <v>0.4217073804133134</v>
      </c>
      <c r="M3" s="265">
        <f>'Calcul de la réserve'!M8</f>
        <v>0.3831296648956829</v>
      </c>
      <c r="N3" s="265">
        <f>'Calcul de la réserve'!N8</f>
        <v>0.34808103187383566</v>
      </c>
      <c r="O3" s="265">
        <f>'Calcul de la réserve'!O8</f>
        <v>0.31623864151407666</v>
      </c>
      <c r="P3" s="265">
        <f>'Calcul de la réserve'!P8</f>
        <v>0.28730918731278893</v>
      </c>
      <c r="Q3" s="265">
        <f>'Calcul de la réserve'!Q8</f>
        <v>0.2610261943926952</v>
      </c>
      <c r="R3" s="265">
        <f>'Calcul de la réserve'!R8</f>
        <v>0.23714756495049347</v>
      </c>
      <c r="S3" s="265">
        <f>'Calcul de la réserve'!S8</f>
        <v>0.21545334824650211</v>
      </c>
      <c r="T3" s="265">
        <f>'Calcul de la réserve'!T8</f>
        <v>0.19574371459525258</v>
      </c>
      <c r="U3" s="265">
        <f>'Calcul de la réserve'!U8</f>
        <v>0.17783711469505906</v>
      </c>
      <c r="V3" s="265">
        <f>'Calcul de la réserve'!V8</f>
        <v>0.16156860734178907</v>
      </c>
      <c r="W3" s="265">
        <f>'Calcul de la réserve'!W8</f>
        <v>0.14678834012307831</v>
      </c>
      <c r="X3" s="265">
        <f>'Calcul de la réserve'!X8</f>
        <v>0.1333601690983662</v>
      </c>
      <c r="Y3" s="265">
        <f>'Calcul de la réserve'!Y8</f>
        <v>0.12116040475035422</v>
      </c>
      <c r="Z3" s="265">
        <f>'Calcul de la réserve'!Z8</f>
        <v>0.11007667265659983</v>
      </c>
      <c r="AA3" s="265">
        <f>'Calcul de la réserve'!AA8</f>
        <v>0.10000687838666872</v>
      </c>
      <c r="AB3" s="265">
        <f>'Calcul de la réserve'!AB8</f>
        <v>9.085826709030978E-2</v>
      </c>
      <c r="AC3" s="265">
        <f>'Calcul de la réserve'!AC8</f>
        <v>8.254656911433525E-2</v>
      </c>
      <c r="AD3" s="265">
        <f>'Calcul de la réserve'!AD8</f>
        <v>7.4995223778315342E-2</v>
      </c>
      <c r="AE3" s="265">
        <f>'Calcul de la réserve'!AE8</f>
        <v>6.813467415913313E-2</v>
      </c>
      <c r="AF3" s="265">
        <f>'Calcul de la réserve'!AF8</f>
        <v>6.1901726388521844E-2</v>
      </c>
      <c r="AG3" s="265">
        <f>'Calcul de la réserve'!AG8</f>
        <v>5.6238967561948537E-2</v>
      </c>
      <c r="AH3" s="265">
        <f>'Calcul de la réserve'!AH8</f>
        <v>5.1094236897088668E-2</v>
      </c>
      <c r="AI3" s="265">
        <f>'Calcul de la réserve'!AI8</f>
        <v>4.6420145270628536E-2</v>
      </c>
      <c r="AJ3" s="265">
        <f>'Calcul de la réserve'!AJ8</f>
        <v>4.2173638707754889E-2</v>
      </c>
      <c r="AK3" s="265">
        <f>'Calcul de la réserve'!AK8</f>
        <v>3.8315601803547712E-2</v>
      </c>
      <c r="AL3" s="265">
        <f>'Calcul de la réserve'!AL8</f>
        <v>3.4810497423312853E-2</v>
      </c>
      <c r="AM3" s="265">
        <f>'Calcul de la réserve'!AM8</f>
        <v>3.1626039363063602E-2</v>
      </c>
      <c r="AN3" s="265">
        <f>'Calcul de la réserve'!AN8</f>
        <v>2.8732894954962715E-2</v>
      </c>
      <c r="AO3" s="265">
        <f>'Calcul de la réserve'!AO8</f>
        <v>2.6104414878365227E-2</v>
      </c>
      <c r="AP3" s="265">
        <f>'Calcul de la réserve'!AP8</f>
        <v>2.3716387687698629E-2</v>
      </c>
      <c r="AQ3" s="265">
        <f>'Calcul de la réserve'!AQ8</f>
        <v>2.1546816796088528E-2</v>
      </c>
      <c r="AR3" s="265">
        <f>'Calcul de la réserve'!AR8</f>
        <v>1.9575717860482223E-2</v>
      </c>
      <c r="AS3" s="265">
        <f>'Calcul de la réserve'!AS8</f>
        <v>1.7784934701944834E-2</v>
      </c>
      <c r="AT3" s="265">
        <f>'Calcul de la réserve'!AT8</f>
        <v>1.6157972065533734E-2</v>
      </c>
      <c r="AU3" s="265">
        <f>'Calcul de la réserve'!AU8</f>
        <v>1.4679843679269661E-2</v>
      </c>
      <c r="AV3" s="265">
        <f>'Calcul de la réserve'!AV8</f>
        <v>1.3336934212645889E-2</v>
      </c>
      <c r="AW3" s="265">
        <f>'Calcul de la réserve'!AW8</f>
        <v>1.2116873863148237E-2</v>
      </c>
      <c r="AX3" s="265">
        <f>'Calcul de la réserve'!AX8</f>
        <v>1.1008424415577724E-2</v>
      </c>
      <c r="AY3" s="265">
        <f>'Calcul de la réserve'!AY8</f>
        <v>1.0001375724645949E-2</v>
      </c>
      <c r="AZ3" s="266">
        <f>'Calcul de la réserve'!AZ8</f>
        <v>9.0864516673240768E-3</v>
      </c>
    </row>
    <row r="4" spans="1:52">
      <c r="A4" s="83" t="s">
        <v>178</v>
      </c>
      <c r="B4" s="267" t="str">
        <f>'Tableau de bord'!B131</f>
        <v>Scénario modélisé</v>
      </c>
      <c r="C4" s="268">
        <f>'Tableau de bord'!C131</f>
        <v>21654.583607580065</v>
      </c>
      <c r="D4" s="269">
        <f>'Tableau de bord'!D131</f>
        <v>65676.609841214784</v>
      </c>
      <c r="E4" s="269">
        <f>'Tableau de bord'!E131</f>
        <v>125575.34271359321</v>
      </c>
      <c r="F4" s="269">
        <f>'Tableau de bord'!F131</f>
        <v>197219.19726362533</v>
      </c>
      <c r="G4" s="269">
        <f>'Tableau de bord'!G131</f>
        <v>273128.36023913481</v>
      </c>
      <c r="H4" s="269">
        <f>'Tableau de bord'!H131</f>
        <v>346377.06747555296</v>
      </c>
      <c r="I4" s="269">
        <f>'Tableau de bord'!I131</f>
        <v>408088.75736827432</v>
      </c>
      <c r="J4" s="269">
        <f>'Tableau de bord'!J131</f>
        <v>462995.09022523108</v>
      </c>
      <c r="K4" s="269">
        <f>'Tableau de bord'!K131</f>
        <v>500553.92842398345</v>
      </c>
      <c r="L4" s="269">
        <f>'Tableau de bord'!L131</f>
        <v>522352.45454357314</v>
      </c>
      <c r="M4" s="269">
        <f>'Tableau de bord'!M131</f>
        <v>537574.68068700412</v>
      </c>
      <c r="N4" s="269">
        <f>'Tableau de bord'!N131</f>
        <v>549572.97592899576</v>
      </c>
      <c r="O4" s="269">
        <f>'Tableau de bord'!O131</f>
        <v>559937.48877245199</v>
      </c>
      <c r="P4" s="269">
        <f>'Tableau de bord'!P131</f>
        <v>570143.2091230544</v>
      </c>
      <c r="Q4" s="269">
        <f>'Tableau de bord'!Q131</f>
        <v>580757.15828768082</v>
      </c>
      <c r="R4" s="269">
        <f>'Tableau de bord'!R131</f>
        <v>591779.33626633126</v>
      </c>
      <c r="S4" s="269">
        <f>'Tableau de bord'!S131</f>
        <v>603209.74305900594</v>
      </c>
      <c r="T4" s="269">
        <f>'Tableau de bord'!T131</f>
        <v>615048.37866570463</v>
      </c>
      <c r="U4" s="269">
        <f>'Tableau de bord'!U131</f>
        <v>627295.24308642733</v>
      </c>
      <c r="V4" s="269">
        <f>'Tableau de bord'!V131</f>
        <v>639950.33632117428</v>
      </c>
      <c r="W4" s="269">
        <f>'Tableau de bord'!W131</f>
        <v>653013.65836994525</v>
      </c>
      <c r="X4" s="269">
        <f>'Tableau de bord'!X131</f>
        <v>666485.20923274034</v>
      </c>
      <c r="Y4" s="269">
        <f>'Tableau de bord'!Y131</f>
        <v>680364.98890955956</v>
      </c>
      <c r="Z4" s="269">
        <f>'Tableau de bord'!Z131</f>
        <v>694652.99740040279</v>
      </c>
      <c r="AA4" s="269">
        <f>'Tableau de bord'!AA131</f>
        <v>709349.23470527015</v>
      </c>
      <c r="AB4" s="269">
        <f>'Tableau de bord'!AB131</f>
        <v>724045.4720101374</v>
      </c>
      <c r="AC4" s="269">
        <f>'Tableau de bord'!AC131</f>
        <v>738741.70931500476</v>
      </c>
      <c r="AD4" s="269">
        <f>'Tableau de bord'!AD131</f>
        <v>753437.94661987212</v>
      </c>
      <c r="AE4" s="269">
        <f>'Tableau de bord'!AE131</f>
        <v>768134.18392473948</v>
      </c>
      <c r="AF4" s="269">
        <f>'Tableau de bord'!AF131</f>
        <v>782830.42122960684</v>
      </c>
      <c r="AG4" s="269">
        <f>'Tableau de bord'!AG131</f>
        <v>797526.65853447421</v>
      </c>
      <c r="AH4" s="269">
        <f>'Tableau de bord'!AH131</f>
        <v>812222.89583934157</v>
      </c>
      <c r="AI4" s="269">
        <f>'Tableau de bord'!AI131</f>
        <v>826919.13314420893</v>
      </c>
      <c r="AJ4" s="269">
        <f>'Tableau de bord'!AJ131</f>
        <v>841615.37044907629</v>
      </c>
      <c r="AK4" s="269">
        <f>'Tableau de bord'!AK131</f>
        <v>856311.60775394365</v>
      </c>
      <c r="AL4" s="269">
        <f>'Tableau de bord'!AL131</f>
        <v>871007.84505881101</v>
      </c>
      <c r="AM4" s="269">
        <f>'Tableau de bord'!AM131</f>
        <v>885704.08236367838</v>
      </c>
      <c r="AN4" s="269">
        <f>'Tableau de bord'!AN131</f>
        <v>900400.31966854574</v>
      </c>
      <c r="AO4" s="269">
        <f>'Tableau de bord'!AO131</f>
        <v>915096.5569734131</v>
      </c>
      <c r="AP4" s="269">
        <f>'Tableau de bord'!AP131</f>
        <v>929792.79427828046</v>
      </c>
      <c r="AQ4" s="269">
        <f>'Tableau de bord'!AQ131</f>
        <v>944489.03158314782</v>
      </c>
      <c r="AR4" s="269">
        <f>'Tableau de bord'!AR131</f>
        <v>959185.26888801518</v>
      </c>
      <c r="AS4" s="269">
        <f>'Tableau de bord'!AS131</f>
        <v>973881.50619288255</v>
      </c>
      <c r="AT4" s="269">
        <f>'Tableau de bord'!AT131</f>
        <v>988577.74349774991</v>
      </c>
      <c r="AU4" s="269">
        <f>'Tableau de bord'!AU131</f>
        <v>1003273.9808026173</v>
      </c>
      <c r="AV4" s="269">
        <f>'Tableau de bord'!AV131</f>
        <v>1017970.2181074846</v>
      </c>
      <c r="AW4" s="269">
        <f>'Tableau de bord'!AW131</f>
        <v>1032666.455412352</v>
      </c>
      <c r="AX4" s="269">
        <f>'Tableau de bord'!AX131</f>
        <v>1047362.6927172194</v>
      </c>
      <c r="AY4" s="269">
        <f>'Tableau de bord'!AY131</f>
        <v>1062058.9300220867</v>
      </c>
      <c r="AZ4" s="270">
        <f>'Tableau de bord'!AZ131</f>
        <v>1076755.167326954</v>
      </c>
    </row>
    <row r="5" spans="1:52">
      <c r="A5" s="83"/>
      <c r="B5" s="271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</row>
    <row r="6" spans="1:52">
      <c r="A6" s="83" t="s">
        <v>28</v>
      </c>
      <c r="B6" s="271"/>
      <c r="C6" s="273">
        <f>'Revenus récurrents'!C8</f>
        <v>37.260506329113923</v>
      </c>
      <c r="D6" s="274">
        <f>'Revenus récurrents'!D8</f>
        <v>406.21976139240502</v>
      </c>
      <c r="E6" s="274">
        <f>'Revenus récurrents'!E8</f>
        <v>1846.5352756329114</v>
      </c>
      <c r="F6" s="274">
        <f>'Revenus récurrents'!F8</f>
        <v>5536.4882705696209</v>
      </c>
      <c r="G6" s="274">
        <f>'Revenus récurrents'!G8</f>
        <v>12111.478208623417</v>
      </c>
      <c r="H6" s="274">
        <f>'Revenus récurrents'!H8</f>
        <v>21374.676803124999</v>
      </c>
      <c r="I6" s="274">
        <f>'Revenus récurrents'!I8</f>
        <v>32249.961787143988</v>
      </c>
      <c r="J6" s="274">
        <f>'Revenus récurrents'!J8</f>
        <v>43001.675746439876</v>
      </c>
      <c r="K6" s="274">
        <f>'Revenus récurrents'!K8</f>
        <v>52635.847841787981</v>
      </c>
      <c r="L6" s="274">
        <f>'Revenus récurrents'!L8</f>
        <v>60301.282575767407</v>
      </c>
      <c r="M6" s="274">
        <f>'Revenus récurrents'!M8</f>
        <v>65748.070760680377</v>
      </c>
      <c r="N6" s="274">
        <f>'Revenus récurrents'!N8</f>
        <v>69455.561222903489</v>
      </c>
      <c r="O6" s="274">
        <f>'Revenus récurrents'!O8</f>
        <v>71565.582468417793</v>
      </c>
      <c r="P6" s="274">
        <f>'Revenus récurrents'!P8</f>
        <v>73046.392700649172</v>
      </c>
      <c r="Q6" s="274">
        <f>'Revenus récurrents'!Q8</f>
        <v>74442.672289356356</v>
      </c>
      <c r="R6" s="274">
        <f>'Revenus récurrents'!R8</f>
        <v>75497.802732987911</v>
      </c>
      <c r="S6" s="274">
        <f>'Revenus récurrents'!S8</f>
        <v>76585.558576138515</v>
      </c>
      <c r="T6" s="274">
        <f>'Revenus récurrents'!T8</f>
        <v>77482.45000209265</v>
      </c>
      <c r="U6" s="274">
        <f>'Revenus récurrents'!U8</f>
        <v>78321.37460328493</v>
      </c>
      <c r="V6" s="274">
        <f>'Revenus récurrents'!V8</f>
        <v>79082.218618132552</v>
      </c>
      <c r="W6" s="274">
        <f>'Revenus récurrents'!W8</f>
        <v>79653.439492344478</v>
      </c>
      <c r="X6" s="274">
        <f>'Revenus récurrents'!X8</f>
        <v>80260.910033075226</v>
      </c>
      <c r="Y6" s="274">
        <f>'Revenus récurrents'!Y8</f>
        <v>80495.793314790819</v>
      </c>
      <c r="Z6" s="274">
        <f>'Revenus récurrents'!Z8</f>
        <v>80495.793314790819</v>
      </c>
      <c r="AA6" s="274">
        <f>'Revenus récurrents'!AA8</f>
        <v>80495.793314790819</v>
      </c>
      <c r="AB6" s="274">
        <f>'Revenus récurrents'!AB8</f>
        <v>80495.793314790819</v>
      </c>
      <c r="AC6" s="274">
        <f>'Revenus récurrents'!AC8</f>
        <v>80495.793314790819</v>
      </c>
      <c r="AD6" s="274">
        <f>'Revenus récurrents'!AD8</f>
        <v>80495.793314790819</v>
      </c>
      <c r="AE6" s="274">
        <f>'Revenus récurrents'!AE8</f>
        <v>80495.793314790819</v>
      </c>
      <c r="AF6" s="274">
        <f>'Revenus récurrents'!AF8</f>
        <v>80495.793314790819</v>
      </c>
      <c r="AG6" s="274">
        <f>'Revenus récurrents'!AG8</f>
        <v>80495.793314790819</v>
      </c>
      <c r="AH6" s="274">
        <f>'Revenus récurrents'!AH8</f>
        <v>80495.793314790819</v>
      </c>
      <c r="AI6" s="274">
        <f>'Revenus récurrents'!AI8</f>
        <v>80495.793314790819</v>
      </c>
      <c r="AJ6" s="274">
        <f>'Revenus récurrents'!AJ8</f>
        <v>80495.793314790819</v>
      </c>
      <c r="AK6" s="274">
        <f>'Revenus récurrents'!AK8</f>
        <v>80495.793314790819</v>
      </c>
      <c r="AL6" s="274">
        <f>'Revenus récurrents'!AL8</f>
        <v>80495.793314790819</v>
      </c>
      <c r="AM6" s="274">
        <f>'Revenus récurrents'!AM8</f>
        <v>80495.793314790819</v>
      </c>
      <c r="AN6" s="274">
        <f>'Revenus récurrents'!AN8</f>
        <v>80495.793314790819</v>
      </c>
      <c r="AO6" s="274">
        <f>'Revenus récurrents'!AO8</f>
        <v>80495.793314790819</v>
      </c>
      <c r="AP6" s="274">
        <f>'Revenus récurrents'!AP8</f>
        <v>80495.793314790819</v>
      </c>
      <c r="AQ6" s="274">
        <f>'Revenus récurrents'!AQ8</f>
        <v>80495.793314790819</v>
      </c>
      <c r="AR6" s="274">
        <f>'Revenus récurrents'!AR8</f>
        <v>80495.793314790819</v>
      </c>
      <c r="AS6" s="274">
        <f>'Revenus récurrents'!AS8</f>
        <v>80495.793314790819</v>
      </c>
      <c r="AT6" s="274">
        <f>'Revenus récurrents'!AT8</f>
        <v>80495.793314790819</v>
      </c>
      <c r="AU6" s="274">
        <f>'Revenus récurrents'!AU8</f>
        <v>80495.793314790819</v>
      </c>
      <c r="AV6" s="274">
        <f>'Revenus récurrents'!AV8</f>
        <v>80495.793314790819</v>
      </c>
      <c r="AW6" s="274">
        <f>'Revenus récurrents'!AW8</f>
        <v>80495.793314790819</v>
      </c>
      <c r="AX6" s="274">
        <f>'Revenus récurrents'!AX8</f>
        <v>80495.793314790819</v>
      </c>
      <c r="AY6" s="274">
        <f>'Revenus récurrents'!AY8</f>
        <v>80495.793314790819</v>
      </c>
      <c r="AZ6" s="275">
        <f>'Revenus récurrents'!AZ8</f>
        <v>80495.793314790819</v>
      </c>
    </row>
    <row r="8" spans="1:52">
      <c r="A8" s="83" t="s">
        <v>43</v>
      </c>
      <c r="C8" s="276">
        <f ca="1">-C18/C19</f>
        <v>0.79922642355399753</v>
      </c>
    </row>
    <row r="10" spans="1:52">
      <c r="A10" s="83" t="s">
        <v>71</v>
      </c>
      <c r="B10" s="271"/>
      <c r="C10" s="268">
        <f ca="1">'Revenus récurrents'!C16</f>
        <v>373.5612920127075</v>
      </c>
      <c r="D10" s="269">
        <f ca="1">'Revenus récurrents'!D16</f>
        <v>4072.6225662765769</v>
      </c>
      <c r="E10" s="269">
        <f ca="1">'Revenus récurrents'!E16</f>
        <v>18512.741003025309</v>
      </c>
      <c r="F10" s="269">
        <f ca="1">'Revenus récurrents'!F16</f>
        <v>55506.967438903601</v>
      </c>
      <c r="G10" s="269">
        <f ca="1">'Revenus récurrents'!G16</f>
        <v>121425.60296508747</v>
      </c>
      <c r="H10" s="269">
        <f ca="1">'Revenus récurrents'!H16</f>
        <v>214295.3134453368</v>
      </c>
      <c r="I10" s="269">
        <f ca="1">'Revenus récurrents'!I16</f>
        <v>323327.25932799868</v>
      </c>
      <c r="J10" s="269">
        <f ca="1">'Revenus récurrents'!J16</f>
        <v>431120.32371927233</v>
      </c>
      <c r="K10" s="269">
        <f ca="1">'Revenus récurrents'!K16</f>
        <v>527709.28962387482</v>
      </c>
      <c r="L10" s="269">
        <f ca="1">'Revenus récurrents'!L16</f>
        <v>604560.35755547183</v>
      </c>
      <c r="M10" s="269">
        <f ca="1">'Revenus récurrents'!M16</f>
        <v>659168.02213478542</v>
      </c>
      <c r="N10" s="269">
        <f ca="1">'Revenus récurrents'!N16</f>
        <v>696338.07331336231</v>
      </c>
      <c r="O10" s="269">
        <f ca="1">'Revenus récurrents'!O16</f>
        <v>717492.43594296242</v>
      </c>
      <c r="P10" s="269">
        <f ca="1">'Revenus récurrents'!P16</f>
        <v>732338.54078898707</v>
      </c>
      <c r="Q10" s="269">
        <f ca="1">'Revenus récurrents'!Q16</f>
        <v>746337.16986185277</v>
      </c>
      <c r="R10" s="269">
        <f ca="1">'Revenus récurrents'!R16</f>
        <v>756915.55246039969</v>
      </c>
      <c r="S10" s="269">
        <f ca="1">'Revenus récurrents'!S16</f>
        <v>767821.02633057651</v>
      </c>
      <c r="T10" s="269">
        <f ca="1">'Revenus récurrents'!T16</f>
        <v>776812.95781200018</v>
      </c>
      <c r="U10" s="269">
        <f ca="1">'Revenus récurrents'!U16</f>
        <v>785223.73342397204</v>
      </c>
      <c r="V10" s="269">
        <f ca="1">'Revenus récurrents'!V16</f>
        <v>792851.69936453504</v>
      </c>
      <c r="W10" s="269">
        <f ca="1">'Revenus récurrents'!W16</f>
        <v>798578.56753724441</v>
      </c>
      <c r="X10" s="269">
        <f ca="1">'Revenus récurrents'!X16</f>
        <v>804668.86266234622</v>
      </c>
      <c r="Y10" s="269">
        <f ca="1">'Revenus récurrents'!Y16</f>
        <v>807023.72336699814</v>
      </c>
      <c r="Z10" s="269">
        <f ca="1">'Revenus récurrents'!Z16</f>
        <v>807023.72336699814</v>
      </c>
      <c r="AA10" s="269">
        <f ca="1">'Revenus récurrents'!AA16</f>
        <v>807023.72336699814</v>
      </c>
      <c r="AB10" s="269">
        <f ca="1">'Revenus récurrents'!AB16</f>
        <v>807023.72336699814</v>
      </c>
      <c r="AC10" s="269">
        <f ca="1">'Revenus récurrents'!AC16</f>
        <v>807023.72336699814</v>
      </c>
      <c r="AD10" s="269">
        <f ca="1">'Revenus récurrents'!AD16</f>
        <v>807023.72336699814</v>
      </c>
      <c r="AE10" s="269">
        <f ca="1">'Revenus récurrents'!AE16</f>
        <v>807023.72336699814</v>
      </c>
      <c r="AF10" s="269">
        <f ca="1">'Revenus récurrents'!AF16</f>
        <v>807023.72336699814</v>
      </c>
      <c r="AG10" s="269">
        <f ca="1">'Revenus récurrents'!AG16</f>
        <v>807023.72336699814</v>
      </c>
      <c r="AH10" s="269">
        <f ca="1">'Revenus récurrents'!AH16</f>
        <v>807023.72336699814</v>
      </c>
      <c r="AI10" s="269">
        <f ca="1">'Revenus récurrents'!AI16</f>
        <v>807023.72336699814</v>
      </c>
      <c r="AJ10" s="269">
        <f ca="1">'Revenus récurrents'!AJ16</f>
        <v>807023.72336699814</v>
      </c>
      <c r="AK10" s="269">
        <f ca="1">'Revenus récurrents'!AK16</f>
        <v>807023.72336699814</v>
      </c>
      <c r="AL10" s="269">
        <f ca="1">'Revenus récurrents'!AL16</f>
        <v>807023.72336699814</v>
      </c>
      <c r="AM10" s="269">
        <f ca="1">'Revenus récurrents'!AM16</f>
        <v>807023.72336699814</v>
      </c>
      <c r="AN10" s="269">
        <f ca="1">'Revenus récurrents'!AN16</f>
        <v>807023.72336699814</v>
      </c>
      <c r="AO10" s="269">
        <f ca="1">'Revenus récurrents'!AO16</f>
        <v>807023.72336699814</v>
      </c>
      <c r="AP10" s="269">
        <f ca="1">'Revenus récurrents'!AP16</f>
        <v>807023.72336699814</v>
      </c>
      <c r="AQ10" s="269">
        <f ca="1">'Revenus récurrents'!AQ16</f>
        <v>807023.72336699814</v>
      </c>
      <c r="AR10" s="269">
        <f ca="1">'Revenus récurrents'!AR16</f>
        <v>807023.72336699814</v>
      </c>
      <c r="AS10" s="269">
        <f ca="1">'Revenus récurrents'!AS16</f>
        <v>807023.72336699814</v>
      </c>
      <c r="AT10" s="269">
        <f ca="1">'Revenus récurrents'!AT16</f>
        <v>807023.72336699814</v>
      </c>
      <c r="AU10" s="269">
        <f ca="1">'Revenus récurrents'!AU16</f>
        <v>807023.72336699814</v>
      </c>
      <c r="AV10" s="269">
        <f ca="1">'Revenus récurrents'!AV16</f>
        <v>807023.72336699814</v>
      </c>
      <c r="AW10" s="269">
        <f ca="1">'Revenus récurrents'!AW16</f>
        <v>807023.72336699814</v>
      </c>
      <c r="AX10" s="269">
        <f ca="1">'Revenus récurrents'!AX16</f>
        <v>807023.72336699814</v>
      </c>
      <c r="AY10" s="269">
        <f ca="1">'Revenus récurrents'!AY16</f>
        <v>807023.72336699814</v>
      </c>
      <c r="AZ10" s="270">
        <f ca="1">'Revenus récurrents'!AZ16</f>
        <v>807023.72336699814</v>
      </c>
    </row>
    <row r="11" spans="1:52">
      <c r="A11" s="83" t="s">
        <v>12</v>
      </c>
      <c r="B11" s="271"/>
      <c r="C11" s="268">
        <f ca="1">C10-C4</f>
        <v>-21281.022315567359</v>
      </c>
      <c r="D11" s="269">
        <f ca="1">D10-D4</f>
        <v>-61603.987274938205</v>
      </c>
      <c r="E11" s="269">
        <f t="shared" ref="E11:AH11" ca="1" si="0">E10-E4</f>
        <v>-107062.60171056791</v>
      </c>
      <c r="F11" s="269">
        <f t="shared" ca="1" si="0"/>
        <v>-141712.22982472173</v>
      </c>
      <c r="G11" s="269">
        <f t="shared" ca="1" si="0"/>
        <v>-151702.75727404736</v>
      </c>
      <c r="H11" s="269">
        <f t="shared" ca="1" si="0"/>
        <v>-132081.75403021617</v>
      </c>
      <c r="I11" s="269">
        <f t="shared" ca="1" si="0"/>
        <v>-84761.498040275648</v>
      </c>
      <c r="J11" s="269">
        <f t="shared" ca="1" si="0"/>
        <v>-31874.766505958745</v>
      </c>
      <c r="K11" s="269">
        <f t="shared" ca="1" si="0"/>
        <v>27155.361199891369</v>
      </c>
      <c r="L11" s="269">
        <f t="shared" ca="1" si="0"/>
        <v>82207.903011898685</v>
      </c>
      <c r="M11" s="269">
        <f t="shared" ca="1" si="0"/>
        <v>121593.34144778131</v>
      </c>
      <c r="N11" s="269">
        <f t="shared" ca="1" si="0"/>
        <v>146765.09738436656</v>
      </c>
      <c r="O11" s="269">
        <f t="shared" ca="1" si="0"/>
        <v>157554.94717051042</v>
      </c>
      <c r="P11" s="269">
        <f t="shared" ca="1" si="0"/>
        <v>162195.33166593267</v>
      </c>
      <c r="Q11" s="269">
        <f t="shared" ca="1" si="0"/>
        <v>165580.01157417195</v>
      </c>
      <c r="R11" s="269">
        <f t="shared" ca="1" si="0"/>
        <v>165136.21619406843</v>
      </c>
      <c r="S11" s="269">
        <f t="shared" ca="1" si="0"/>
        <v>164611.28327157057</v>
      </c>
      <c r="T11" s="269">
        <f t="shared" ca="1" si="0"/>
        <v>161764.57914629555</v>
      </c>
      <c r="U11" s="269">
        <f t="shared" ca="1" si="0"/>
        <v>157928.4903375447</v>
      </c>
      <c r="V11" s="269">
        <f t="shared" ca="1" si="0"/>
        <v>152901.36304336076</v>
      </c>
      <c r="W11" s="269">
        <f t="shared" ca="1" si="0"/>
        <v>145564.90916729916</v>
      </c>
      <c r="X11" s="269">
        <f t="shared" ca="1" si="0"/>
        <v>138183.65342960588</v>
      </c>
      <c r="Y11" s="269">
        <f t="shared" ca="1" si="0"/>
        <v>126658.73445743858</v>
      </c>
      <c r="Z11" s="269">
        <f t="shared" ca="1" si="0"/>
        <v>112370.72596659535</v>
      </c>
      <c r="AA11" s="269">
        <f t="shared" ca="1" si="0"/>
        <v>97674.488661727984</v>
      </c>
      <c r="AB11" s="269">
        <f t="shared" ca="1" si="0"/>
        <v>82978.251356860739</v>
      </c>
      <c r="AC11" s="269">
        <f t="shared" ca="1" si="0"/>
        <v>68282.014051993378</v>
      </c>
      <c r="AD11" s="269">
        <f t="shared" ca="1" si="0"/>
        <v>53585.776747126016</v>
      </c>
      <c r="AE11" s="269">
        <f t="shared" ca="1" si="0"/>
        <v>38889.539442258654</v>
      </c>
      <c r="AF11" s="269">
        <f t="shared" ca="1" si="0"/>
        <v>24193.302137391292</v>
      </c>
      <c r="AG11" s="269">
        <f t="shared" ca="1" si="0"/>
        <v>9497.0648325239308</v>
      </c>
      <c r="AH11" s="269">
        <f t="shared" ca="1" si="0"/>
        <v>-5199.1724723434309</v>
      </c>
      <c r="AI11" s="269">
        <f t="shared" ref="AI11:AZ11" ca="1" si="1">AI10-AI4</f>
        <v>-19895.409777210793</v>
      </c>
      <c r="AJ11" s="269">
        <f t="shared" ca="1" si="1"/>
        <v>-34591.647082078154</v>
      </c>
      <c r="AK11" s="269">
        <f t="shared" ca="1" si="1"/>
        <v>-49287.884386945516</v>
      </c>
      <c r="AL11" s="269">
        <f t="shared" ca="1" si="1"/>
        <v>-63984.121691812878</v>
      </c>
      <c r="AM11" s="269">
        <f t="shared" ca="1" si="1"/>
        <v>-78680.358996680239</v>
      </c>
      <c r="AN11" s="269">
        <f t="shared" ca="1" si="1"/>
        <v>-93376.596301547601</v>
      </c>
      <c r="AO11" s="269">
        <f t="shared" ca="1" si="1"/>
        <v>-108072.83360641496</v>
      </c>
      <c r="AP11" s="269">
        <f t="shared" ca="1" si="1"/>
        <v>-122769.07091128232</v>
      </c>
      <c r="AQ11" s="269">
        <f t="shared" ca="1" si="1"/>
        <v>-137465.30821614969</v>
      </c>
      <c r="AR11" s="269">
        <f t="shared" ca="1" si="1"/>
        <v>-152161.54552101705</v>
      </c>
      <c r="AS11" s="269">
        <f t="shared" ca="1" si="1"/>
        <v>-166857.78282588441</v>
      </c>
      <c r="AT11" s="269">
        <f t="shared" ca="1" si="1"/>
        <v>-181554.02013075177</v>
      </c>
      <c r="AU11" s="269">
        <f t="shared" ca="1" si="1"/>
        <v>-196250.25743561913</v>
      </c>
      <c r="AV11" s="269">
        <f t="shared" ca="1" si="1"/>
        <v>-210946.49474048649</v>
      </c>
      <c r="AW11" s="269">
        <f t="shared" ca="1" si="1"/>
        <v>-225642.73204535386</v>
      </c>
      <c r="AX11" s="269">
        <f t="shared" ca="1" si="1"/>
        <v>-240338.96935022122</v>
      </c>
      <c r="AY11" s="269">
        <f t="shared" ca="1" si="1"/>
        <v>-255035.20665508858</v>
      </c>
      <c r="AZ11" s="270">
        <f t="shared" ca="1" si="1"/>
        <v>-269731.44395995582</v>
      </c>
    </row>
    <row r="12" spans="1:52">
      <c r="A12" s="83"/>
      <c r="B12" s="271"/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</row>
    <row r="13" spans="1:52">
      <c r="A13" s="83" t="s">
        <v>42</v>
      </c>
      <c r="B13" s="55"/>
      <c r="C13" s="279">
        <f ca="1">SUMPRODUCT((OFFSET(C11,,,1,'Tableau de bord'!B9)),(OFFSET(C3,,,1,'Tableau de bord'!B9)))</f>
        <v>3.2014213502407074E-10</v>
      </c>
    </row>
    <row r="15" spans="1:52">
      <c r="A15" s="280" t="s">
        <v>21</v>
      </c>
    </row>
    <row r="16" spans="1:52" hidden="1" outlineLevel="1">
      <c r="A16" s="83"/>
    </row>
    <row r="17" spans="1:52" s="111" customFormat="1" hidden="1" outlineLevel="1">
      <c r="A17" s="281" t="s">
        <v>75</v>
      </c>
      <c r="B17" s="282"/>
      <c r="C17" s="283">
        <f>C6*12*'Revenus récurrents'!$C$3</f>
        <v>467.40358051671552</v>
      </c>
      <c r="D17" s="284">
        <f>D6*12*'Revenus récurrents'!$C$3</f>
        <v>5095.7056051355903</v>
      </c>
      <c r="E17" s="284">
        <f>E6*12*'Revenus récurrents'!$C$3</f>
        <v>23163.324506593402</v>
      </c>
      <c r="F17" s="284">
        <f>F6*12*'Revenus récurrents'!$C$3</f>
        <v>69450.866241478085</v>
      </c>
      <c r="G17" s="284">
        <f>G6*12*'Revenus récurrents'!$C$3</f>
        <v>151928.91449350794</v>
      </c>
      <c r="H17" s="284">
        <f>H6*12*'Revenus récurrents'!$C$3</f>
        <v>268128.41408872476</v>
      </c>
      <c r="I17" s="284">
        <f>I6*12*'Revenus récurrents'!$C$3</f>
        <v>404550.26235272357</v>
      </c>
      <c r="J17" s="284">
        <f>J6*12*'Revenus récurrents'!$C$3</f>
        <v>539422.00985068514</v>
      </c>
      <c r="K17" s="284">
        <f>K6*12*'Revenus récurrents'!$C$3</f>
        <v>660275.07859069377</v>
      </c>
      <c r="L17" s="284">
        <f>L6*12*'Revenus récurrents'!$C$3</f>
        <v>756431.89431489876</v>
      </c>
      <c r="M17" s="284">
        <f>M6*12*'Revenus récurrents'!$C$3</f>
        <v>824757.54393054114</v>
      </c>
      <c r="N17" s="284">
        <f>N6*12*'Revenus récurrents'!$C$3</f>
        <v>871265.07932118711</v>
      </c>
      <c r="O17" s="284">
        <f>O6*12*'Revenus récurrents'!$C$3</f>
        <v>897733.6269144098</v>
      </c>
      <c r="P17" s="284">
        <f>P6*12*'Revenus récurrents'!$C$3</f>
        <v>916309.22002356534</v>
      </c>
      <c r="Q17" s="284">
        <f>Q6*12*'Revenus récurrents'!$C$3</f>
        <v>933824.44306964101</v>
      </c>
      <c r="R17" s="284">
        <f>R6*12*'Revenus récurrents'!$C$3</f>
        <v>947060.21992434876</v>
      </c>
      <c r="S17" s="284">
        <f>S6*12*'Revenus récurrents'!$C$3</f>
        <v>960705.25661080168</v>
      </c>
      <c r="T17" s="284">
        <f>T6*12*'Revenus récurrents'!$C$3</f>
        <v>971956.05014868104</v>
      </c>
      <c r="U17" s="284">
        <f>U6*12*'Revenus récurrents'!$C$3</f>
        <v>982479.69571906992</v>
      </c>
      <c r="V17" s="284">
        <f>V6*12*'Revenus récurrents'!$C$3</f>
        <v>992023.8820919916</v>
      </c>
      <c r="W17" s="284">
        <f>W6*12*'Revenus récurrents'!$C$3</f>
        <v>999189.39614900074</v>
      </c>
      <c r="X17" s="284">
        <f>X6*12*'Revenus récurrents'!$C$3</f>
        <v>1006809.6336006352</v>
      </c>
      <c r="Y17" s="284">
        <f>Y6*12*'Revenus récurrents'!$C$3</f>
        <v>1009756.0585876624</v>
      </c>
      <c r="Z17" s="284">
        <f>Z6*12*'Revenus récurrents'!$C$3</f>
        <v>1009756.0585876624</v>
      </c>
      <c r="AA17" s="284">
        <f>AA6*12*'Revenus récurrents'!$C$3</f>
        <v>1009756.0585876624</v>
      </c>
      <c r="AB17" s="284">
        <f>AB6*12*'Revenus récurrents'!$C$3</f>
        <v>1009756.0585876624</v>
      </c>
      <c r="AC17" s="284">
        <f>AC6*12*'Revenus récurrents'!$C$3</f>
        <v>1009756.0585876624</v>
      </c>
      <c r="AD17" s="284">
        <f>AD6*12*'Revenus récurrents'!$C$3</f>
        <v>1009756.0585876624</v>
      </c>
      <c r="AE17" s="284">
        <f>AE6*12*'Revenus récurrents'!$C$3</f>
        <v>1009756.0585876624</v>
      </c>
      <c r="AF17" s="284">
        <f>AF6*12*'Revenus récurrents'!$C$3</f>
        <v>1009756.0585876624</v>
      </c>
      <c r="AG17" s="284">
        <f>AG6*12*'Revenus récurrents'!$C$3</f>
        <v>1009756.0585876624</v>
      </c>
      <c r="AH17" s="284">
        <f>AH6*12*'Revenus récurrents'!$C$3</f>
        <v>1009756.0585876624</v>
      </c>
      <c r="AI17" s="284">
        <f>AI6*12*'Revenus récurrents'!$C$3</f>
        <v>1009756.0585876624</v>
      </c>
      <c r="AJ17" s="284">
        <f>AJ6*12*'Revenus récurrents'!$C$3</f>
        <v>1009756.0585876624</v>
      </c>
      <c r="AK17" s="284">
        <f>AK6*12*'Revenus récurrents'!$C$3</f>
        <v>1009756.0585876624</v>
      </c>
      <c r="AL17" s="284">
        <f>AL6*12*'Revenus récurrents'!$C$3</f>
        <v>1009756.0585876624</v>
      </c>
      <c r="AM17" s="284">
        <f>AM6*12*'Revenus récurrents'!$C$3</f>
        <v>1009756.0585876624</v>
      </c>
      <c r="AN17" s="284">
        <f>AN6*12*'Revenus récurrents'!$C$3</f>
        <v>1009756.0585876624</v>
      </c>
      <c r="AO17" s="284">
        <f>AO6*12*'Revenus récurrents'!$C$3</f>
        <v>1009756.0585876624</v>
      </c>
      <c r="AP17" s="284">
        <f>AP6*12*'Revenus récurrents'!$C$3</f>
        <v>1009756.0585876624</v>
      </c>
      <c r="AQ17" s="284">
        <f>AQ6*12*'Revenus récurrents'!$C$3</f>
        <v>1009756.0585876624</v>
      </c>
      <c r="AR17" s="284">
        <f>AR6*12*'Revenus récurrents'!$C$3</f>
        <v>1009756.0585876624</v>
      </c>
      <c r="AS17" s="284">
        <f>AS6*12*'Revenus récurrents'!$C$3</f>
        <v>1009756.0585876624</v>
      </c>
      <c r="AT17" s="284">
        <f>AT6*12*'Revenus récurrents'!$C$3</f>
        <v>1009756.0585876624</v>
      </c>
      <c r="AU17" s="284">
        <f>AU6*12*'Revenus récurrents'!$C$3</f>
        <v>1009756.0585876624</v>
      </c>
      <c r="AV17" s="284">
        <f>AV6*12*'Revenus récurrents'!$C$3</f>
        <v>1009756.0585876624</v>
      </c>
      <c r="AW17" s="284">
        <f>AW6*12*'Revenus récurrents'!$C$3</f>
        <v>1009756.0585876624</v>
      </c>
      <c r="AX17" s="284">
        <f>AX6*12*'Revenus récurrents'!$C$3</f>
        <v>1009756.0585876624</v>
      </c>
      <c r="AY17" s="284">
        <f>AY6*12*'Revenus récurrents'!$C$3</f>
        <v>1009756.0585876624</v>
      </c>
      <c r="AZ17" s="285">
        <f>AZ6*12*'Revenus récurrents'!$C$3</f>
        <v>1009756.0585876624</v>
      </c>
    </row>
    <row r="18" spans="1:52" hidden="1" outlineLevel="1">
      <c r="A18" s="83" t="s">
        <v>39</v>
      </c>
      <c r="B18" s="259" t="s">
        <v>40</v>
      </c>
      <c r="C18" s="286">
        <f ca="1">SUMPRODUCT(-(OFFSET(C4,,,1,'Tableau de bord'!B9)),(OFFSET(C3,,,1,'Tableau de bord'!B9)))</f>
        <v>-3561961.3830658807</v>
      </c>
    </row>
    <row r="19" spans="1:52" hidden="1" outlineLevel="1">
      <c r="A19" s="83"/>
      <c r="B19" s="259" t="s">
        <v>41</v>
      </c>
      <c r="C19" s="286">
        <f ca="1">SUMPRODUCT((OFFSET(C17,,,1,'Tableau de bord'!B9)),(OFFSET(C3,,,1,'Tableau de bord'!B9)))</f>
        <v>4456761.2857775176</v>
      </c>
    </row>
    <row r="20" spans="1:52" collapsed="1">
      <c r="A20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20</vt:i4>
      </vt:variant>
    </vt:vector>
  </HeadingPairs>
  <TitlesOfParts>
    <vt:vector size="31" baseType="lpstr">
      <vt:lpstr>Notice</vt:lpstr>
      <vt:lpstr>Tableau de bord</vt:lpstr>
      <vt:lpstr>Calcul hypotèses déploiement</vt:lpstr>
      <vt:lpstr>Représentations graphiques</vt:lpstr>
      <vt:lpstr>Calcul du coefficient ex-post</vt:lpstr>
      <vt:lpstr>Revenus non récurrents</vt:lpstr>
      <vt:lpstr>Revenus récurrents</vt:lpstr>
      <vt:lpstr>Calcul de la réserve</vt:lpstr>
      <vt:lpstr>Calcul charges d'exploitation</vt:lpstr>
      <vt:lpstr>Calcul du coût du GC</vt:lpstr>
      <vt:lpstr>Calcul location</vt:lpstr>
      <vt:lpstr>Charges_d_exploitation</vt:lpstr>
      <vt:lpstr>CMPC</vt:lpstr>
      <vt:lpstr>Coefficient_expost</vt:lpstr>
      <vt:lpstr>Cofinancement</vt:lpstr>
      <vt:lpstr>Cofinancement_générique</vt:lpstr>
      <vt:lpstr>Cout_programmée</vt:lpstr>
      <vt:lpstr>Cout_raccordable</vt:lpstr>
      <vt:lpstr>Durée_de_vie</vt:lpstr>
      <vt:lpstr>Inflation</vt:lpstr>
      <vt:lpstr>Lignes_programmées</vt:lpstr>
      <vt:lpstr>Lignes_raccordables</vt:lpstr>
      <vt:lpstr>Pdm</vt:lpstr>
      <vt:lpstr>Prime_risque_cofi</vt:lpstr>
      <vt:lpstr>Prime_risque_expost</vt:lpstr>
      <vt:lpstr>Prime_risque_loc</vt:lpstr>
      <vt:lpstr>Prix_programmée</vt:lpstr>
      <vt:lpstr>Prix_raccordable</vt:lpstr>
      <vt:lpstr>Prix_renouvellement</vt:lpstr>
      <vt:lpstr>Taux_pénétration</vt:lpstr>
      <vt:lpstr>Vitesse_raccordables</vt:lpstr>
    </vt:vector>
  </TitlesOfParts>
  <Company>ARCEP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Oisel</dc:creator>
  <cp:lastModifiedBy>Pierre Oisel</cp:lastModifiedBy>
  <dcterms:created xsi:type="dcterms:W3CDTF">2013-10-24T12:46:18Z</dcterms:created>
  <dcterms:modified xsi:type="dcterms:W3CDTF">2014-05-14T16:46:37Z</dcterms:modified>
</cp:coreProperties>
</file>