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_Mutualisation Fibre Optique\Etudes\2017 - Raccordement final\6 - Suite de l'étude\College\"/>
    </mc:Choice>
  </mc:AlternateContent>
  <xr:revisionPtr revIDLastSave="0" documentId="13_ncr:1_{7B7F3CA9-A39B-4358-935C-C254C9451778}" xr6:coauthVersionLast="36" xr6:coauthVersionMax="36" xr10:uidLastSave="{00000000-0000-0000-0000-000000000000}"/>
  <bookViews>
    <workbookView xWindow="7476" yWindow="468" windowWidth="17736" windowHeight="9012" tabRatio="902" xr2:uid="{00000000-000D-0000-FFFF-FFFF00000000}"/>
  </bookViews>
  <sheets>
    <sheet name="Légende" sheetId="21" r:id="rId1"/>
    <sheet name="Étapes &amp; Durée" sheetId="15" r:id="rId2"/>
    <sheet name="Techniciens &amp; Véhicule" sheetId="7" r:id="rId3"/>
    <sheet name="Matériel" sheetId="8" r:id="rId4"/>
    <sheet name="Synthèse" sheetId="14" r:id="rId5"/>
    <sheet name="Incidence Sensibilité" sheetId="20" r:id="rId6"/>
    <sheet name="Var Ml" sheetId="18" r:id="rId7"/>
    <sheet name="Var Tx H" sheetId="17" r:id="rId8"/>
    <sheet name="Var Échecs" sheetId="19" r:id="rId9"/>
  </sheets>
  <definedNames>
    <definedName name="_Toc516593628" localSheetId="5">'Incidence Sensibilité'!#REF!</definedName>
  </definedNames>
  <calcPr calcId="191029"/>
</workbook>
</file>

<file path=xl/calcChain.xml><?xml version="1.0" encoding="utf-8"?>
<calcChain xmlns="http://schemas.openxmlformats.org/spreadsheetml/2006/main">
  <c r="H5" i="8" l="1"/>
  <c r="E33" i="7"/>
  <c r="D33" i="7"/>
  <c r="D31" i="7"/>
  <c r="D15" i="7"/>
  <c r="D3" i="7"/>
  <c r="E21" i="15"/>
  <c r="E20" i="15"/>
  <c r="D21" i="15"/>
  <c r="D20" i="15"/>
  <c r="C21" i="15"/>
  <c r="C20" i="15"/>
  <c r="B21" i="15"/>
  <c r="B20" i="15"/>
  <c r="B22" i="15" s="1"/>
  <c r="F4" i="14" l="1"/>
  <c r="E4" i="14"/>
  <c r="D4" i="14"/>
  <c r="C4" i="14"/>
  <c r="D23" i="7"/>
  <c r="D26" i="7" s="1"/>
  <c r="E23" i="7" l="1"/>
  <c r="D8" i="14"/>
  <c r="E8" i="14"/>
  <c r="F8" i="14"/>
  <c r="C8" i="14"/>
  <c r="F16" i="15" l="1"/>
  <c r="D3" i="14" l="1"/>
  <c r="E3" i="14"/>
  <c r="F3" i="14"/>
  <c r="G3" i="14"/>
  <c r="C3" i="14"/>
  <c r="K32" i="17"/>
  <c r="J26" i="17"/>
  <c r="B35" i="7"/>
  <c r="B5" i="7" l="1"/>
  <c r="B12" i="7" s="1"/>
  <c r="D12" i="7" s="1"/>
  <c r="D4" i="18"/>
  <c r="B8" i="7" l="1"/>
  <c r="K40" i="17"/>
  <c r="K24" i="17"/>
  <c r="L24" i="17" s="1"/>
  <c r="M24" i="17" s="1"/>
  <c r="J42" i="17"/>
  <c r="L38" i="17"/>
  <c r="J34" i="17"/>
  <c r="L30" i="17"/>
  <c r="L22" i="17"/>
  <c r="L40" i="17" l="1"/>
  <c r="M40" i="17" s="1"/>
  <c r="L32" i="17"/>
  <c r="M32" i="17" s="1"/>
  <c r="L43" i="17"/>
  <c r="C44" i="17" s="1"/>
  <c r="M38" i="17"/>
  <c r="M43" i="17" s="1"/>
  <c r="M30" i="17"/>
  <c r="L27" i="17"/>
  <c r="C8" i="17" s="1"/>
  <c r="M22" i="17"/>
  <c r="M27" i="17" s="1"/>
  <c r="M35" i="17" l="1"/>
  <c r="L35" i="17"/>
  <c r="C20" i="17" s="1"/>
  <c r="C17" i="14"/>
  <c r="C23" i="15" l="1"/>
  <c r="D19" i="14" s="1"/>
  <c r="D23" i="15"/>
  <c r="E19" i="14" s="1"/>
  <c r="E23" i="15"/>
  <c r="F19" i="14" s="1"/>
  <c r="G23" i="15"/>
  <c r="B23" i="15"/>
  <c r="C19" i="14" s="1"/>
  <c r="G21" i="15"/>
  <c r="B19" i="19" l="1"/>
  <c r="B18" i="19"/>
  <c r="B17" i="19"/>
  <c r="B16" i="19"/>
  <c r="B15" i="19"/>
  <c r="F41" i="17"/>
  <c r="F44" i="17" s="1"/>
  <c r="E41" i="17"/>
  <c r="E44" i="17" s="1"/>
  <c r="D41" i="17"/>
  <c r="D44" i="17" s="1"/>
  <c r="F39" i="17"/>
  <c r="E39" i="17"/>
  <c r="D39" i="17"/>
  <c r="C39" i="17"/>
  <c r="F29" i="17"/>
  <c r="E29" i="17"/>
  <c r="D29" i="17"/>
  <c r="F27" i="17"/>
  <c r="E27" i="17"/>
  <c r="D27" i="17"/>
  <c r="C27" i="17"/>
  <c r="F17" i="17"/>
  <c r="F20" i="17" s="1"/>
  <c r="E17" i="17"/>
  <c r="E20" i="17" s="1"/>
  <c r="D17" i="17"/>
  <c r="D20" i="17" s="1"/>
  <c r="F15" i="17"/>
  <c r="E15" i="17"/>
  <c r="D15" i="17"/>
  <c r="C15" i="17"/>
  <c r="H9" i="17"/>
  <c r="H5" i="17"/>
  <c r="F5" i="17"/>
  <c r="F8" i="17" s="1"/>
  <c r="E5" i="17"/>
  <c r="E8" i="17" s="1"/>
  <c r="D5" i="17"/>
  <c r="D8" i="17" s="1"/>
  <c r="H4" i="17"/>
  <c r="H3" i="17"/>
  <c r="F3" i="17"/>
  <c r="E3" i="17"/>
  <c r="D3" i="17"/>
  <c r="C3" i="17"/>
  <c r="H2" i="17"/>
  <c r="H7" i="17" s="1"/>
  <c r="J19" i="18"/>
  <c r="I19" i="18"/>
  <c r="H19" i="18"/>
  <c r="J16" i="18"/>
  <c r="I16" i="18"/>
  <c r="H16" i="18"/>
  <c r="J13" i="18"/>
  <c r="I13" i="18"/>
  <c r="H13" i="18"/>
  <c r="J10" i="18"/>
  <c r="I10" i="18"/>
  <c r="H10" i="18"/>
  <c r="L9" i="18"/>
  <c r="L8" i="18"/>
  <c r="L7" i="18"/>
  <c r="J7" i="18"/>
  <c r="I7" i="18"/>
  <c r="H7" i="18"/>
  <c r="L6" i="18"/>
  <c r="L5" i="18"/>
  <c r="L4" i="18"/>
  <c r="J4" i="18"/>
  <c r="I4" i="18"/>
  <c r="H4" i="18"/>
  <c r="E4" i="18"/>
  <c r="C4" i="18"/>
  <c r="B4" i="18"/>
  <c r="AB24" i="8"/>
  <c r="W24" i="8"/>
  <c r="U24" i="8"/>
  <c r="S24" i="8"/>
  <c r="Q24" i="8"/>
  <c r="O24" i="8"/>
  <c r="J24" i="8"/>
  <c r="H24" i="8"/>
  <c r="F24" i="8"/>
  <c r="D24" i="8"/>
  <c r="AB23" i="8"/>
  <c r="W23" i="8"/>
  <c r="U23" i="8"/>
  <c r="S23" i="8"/>
  <c r="Q23" i="8"/>
  <c r="O23" i="8"/>
  <c r="J23" i="8"/>
  <c r="H23" i="8"/>
  <c r="F23" i="8"/>
  <c r="D23" i="8"/>
  <c r="AB22" i="8"/>
  <c r="W22" i="8"/>
  <c r="U22" i="8"/>
  <c r="S22" i="8"/>
  <c r="Q22" i="8"/>
  <c r="O22" i="8"/>
  <c r="J22" i="8"/>
  <c r="H22" i="8"/>
  <c r="F22" i="8"/>
  <c r="D22" i="8"/>
  <c r="AB21" i="8"/>
  <c r="W21" i="8"/>
  <c r="U21" i="8"/>
  <c r="S21" i="8"/>
  <c r="Q21" i="8"/>
  <c r="O21" i="8"/>
  <c r="J21" i="8"/>
  <c r="H21" i="8"/>
  <c r="F21" i="8"/>
  <c r="D21" i="8"/>
  <c r="AB20" i="8"/>
  <c r="W20" i="8"/>
  <c r="U20" i="8"/>
  <c r="S20" i="8"/>
  <c r="Q20" i="8"/>
  <c r="O20" i="8"/>
  <c r="J20" i="8"/>
  <c r="H20" i="8"/>
  <c r="F20" i="8"/>
  <c r="D20" i="8"/>
  <c r="AB19" i="8"/>
  <c r="W19" i="8"/>
  <c r="U19" i="8"/>
  <c r="S19" i="8"/>
  <c r="Q19" i="8"/>
  <c r="O19" i="8"/>
  <c r="J19" i="8"/>
  <c r="H19" i="8"/>
  <c r="F19" i="8"/>
  <c r="D19" i="8"/>
  <c r="AB18" i="8"/>
  <c r="W18" i="8"/>
  <c r="U18" i="8"/>
  <c r="S18" i="8"/>
  <c r="Q18" i="8"/>
  <c r="O18" i="8"/>
  <c r="J18" i="8"/>
  <c r="H18" i="8"/>
  <c r="F18" i="8"/>
  <c r="D18" i="8"/>
  <c r="AB17" i="8"/>
  <c r="W17" i="8"/>
  <c r="U17" i="8"/>
  <c r="S17" i="8"/>
  <c r="Q17" i="8"/>
  <c r="O17" i="8"/>
  <c r="J17" i="8"/>
  <c r="H17" i="8"/>
  <c r="F17" i="8"/>
  <c r="D17" i="8"/>
  <c r="AB16" i="8"/>
  <c r="W16" i="8"/>
  <c r="U16" i="8"/>
  <c r="S16" i="8"/>
  <c r="Q16" i="8"/>
  <c r="O16" i="8"/>
  <c r="J16" i="8"/>
  <c r="H16" i="8"/>
  <c r="F16" i="8"/>
  <c r="D16" i="8"/>
  <c r="AB15" i="8"/>
  <c r="W15" i="8"/>
  <c r="U15" i="8"/>
  <c r="S15" i="8"/>
  <c r="Q15" i="8"/>
  <c r="O15" i="8"/>
  <c r="J15" i="8"/>
  <c r="H15" i="8"/>
  <c r="F15" i="8"/>
  <c r="D15" i="8"/>
  <c r="AB14" i="8"/>
  <c r="W14" i="8"/>
  <c r="U14" i="8"/>
  <c r="S14" i="8"/>
  <c r="Q14" i="8"/>
  <c r="O14" i="8"/>
  <c r="J14" i="8"/>
  <c r="H14" i="8"/>
  <c r="F14" i="8"/>
  <c r="D14" i="8"/>
  <c r="AB13" i="8"/>
  <c r="W13" i="8"/>
  <c r="U13" i="8"/>
  <c r="S13" i="8"/>
  <c r="Q13" i="8"/>
  <c r="O13" i="8"/>
  <c r="J13" i="8"/>
  <c r="H13" i="8"/>
  <c r="F13" i="8"/>
  <c r="D13" i="8"/>
  <c r="AB12" i="8"/>
  <c r="W12" i="8"/>
  <c r="U12" i="8"/>
  <c r="S12" i="8"/>
  <c r="Q12" i="8"/>
  <c r="O12" i="8"/>
  <c r="J12" i="8"/>
  <c r="H12" i="8"/>
  <c r="F12" i="8"/>
  <c r="D12" i="8"/>
  <c r="AB11" i="8"/>
  <c r="W11" i="8"/>
  <c r="U11" i="8"/>
  <c r="S11" i="8"/>
  <c r="Q11" i="8"/>
  <c r="O11" i="8"/>
  <c r="J11" i="8"/>
  <c r="H11" i="8"/>
  <c r="F11" i="8"/>
  <c r="D11" i="8"/>
  <c r="AB10" i="8"/>
  <c r="W10" i="8"/>
  <c r="U10" i="8"/>
  <c r="S10" i="8"/>
  <c r="Q10" i="8"/>
  <c r="O10" i="8"/>
  <c r="J10" i="8"/>
  <c r="H10" i="8"/>
  <c r="F10" i="8"/>
  <c r="D10" i="8"/>
  <c r="AB9" i="8"/>
  <c r="W9" i="8"/>
  <c r="U9" i="8"/>
  <c r="S9" i="8"/>
  <c r="Q9" i="8"/>
  <c r="O9" i="8"/>
  <c r="J9" i="8"/>
  <c r="H9" i="8"/>
  <c r="F9" i="8"/>
  <c r="D9" i="8"/>
  <c r="AB8" i="8"/>
  <c r="W8" i="8"/>
  <c r="U8" i="8"/>
  <c r="S8" i="8"/>
  <c r="Q8" i="8"/>
  <c r="O8" i="8"/>
  <c r="J8" i="8"/>
  <c r="H8" i="8"/>
  <c r="F8" i="8"/>
  <c r="D8" i="8"/>
  <c r="AB7" i="8"/>
  <c r="W7" i="8"/>
  <c r="U7" i="8"/>
  <c r="S7" i="8"/>
  <c r="Q7" i="8"/>
  <c r="O7" i="8"/>
  <c r="J7" i="8"/>
  <c r="H7" i="8"/>
  <c r="F7" i="8"/>
  <c r="D7" i="8"/>
  <c r="AB6" i="8"/>
  <c r="W6" i="8"/>
  <c r="U6" i="8"/>
  <c r="S6" i="8"/>
  <c r="Q6" i="8"/>
  <c r="O6" i="8"/>
  <c r="J6" i="8"/>
  <c r="H6" i="8"/>
  <c r="F6" i="8"/>
  <c r="D6" i="8"/>
  <c r="AB5" i="8"/>
  <c r="W5" i="8"/>
  <c r="U5" i="8"/>
  <c r="S5" i="8"/>
  <c r="Q5" i="8"/>
  <c r="O5" i="8"/>
  <c r="J5" i="8"/>
  <c r="F5" i="8"/>
  <c r="D5" i="8"/>
  <c r="AB4" i="8"/>
  <c r="W4" i="8"/>
  <c r="U4" i="8"/>
  <c r="S4" i="8"/>
  <c r="Q4" i="8"/>
  <c r="O4" i="8"/>
  <c r="J4" i="8"/>
  <c r="H4" i="8"/>
  <c r="F4" i="8"/>
  <c r="D4" i="8"/>
  <c r="AB3" i="8"/>
  <c r="W3" i="8"/>
  <c r="W25" i="8" s="1"/>
  <c r="U3" i="8"/>
  <c r="U25" i="8" s="1"/>
  <c r="S3" i="8"/>
  <c r="Q3" i="8"/>
  <c r="O3" i="8"/>
  <c r="J3" i="8"/>
  <c r="J25" i="8" s="1"/>
  <c r="H3" i="8"/>
  <c r="F3" i="8"/>
  <c r="D3" i="8"/>
  <c r="G22" i="15"/>
  <c r="E22" i="15"/>
  <c r="F17" i="14" s="1"/>
  <c r="D22" i="15"/>
  <c r="E17" i="14" s="1"/>
  <c r="C22" i="15"/>
  <c r="D17" i="14" s="1"/>
  <c r="G16" i="15"/>
  <c r="E16" i="15"/>
  <c r="D16" i="15"/>
  <c r="C16" i="15"/>
  <c r="B16" i="15"/>
  <c r="J7" i="15"/>
  <c r="D25" i="7"/>
  <c r="E25" i="7" s="1"/>
  <c r="D24" i="7"/>
  <c r="E24" i="7" s="1"/>
  <c r="D11" i="7"/>
  <c r="D10" i="7"/>
  <c r="D9" i="7"/>
  <c r="D7" i="7"/>
  <c r="D6" i="7"/>
  <c r="D5" i="7"/>
  <c r="D8" i="7"/>
  <c r="D4" i="7"/>
  <c r="F25" i="14"/>
  <c r="E25" i="14"/>
  <c r="L8" i="14"/>
  <c r="F16" i="17"/>
  <c r="F18" i="17" s="1"/>
  <c r="L6" i="14"/>
  <c r="L17" i="14" s="1"/>
  <c r="L19" i="14" s="1"/>
  <c r="K6" i="14"/>
  <c r="K8" i="14" s="1"/>
  <c r="J6" i="14"/>
  <c r="J8" i="14" s="1"/>
  <c r="I6" i="14"/>
  <c r="I8" i="14" s="1"/>
  <c r="H6" i="14"/>
  <c r="H8" i="14" s="1"/>
  <c r="G6" i="14"/>
  <c r="G17" i="14" s="1"/>
  <c r="G19" i="14" s="1"/>
  <c r="F6" i="14"/>
  <c r="E6" i="14"/>
  <c r="D6" i="14"/>
  <c r="C6" i="14"/>
  <c r="H25" i="8" l="1"/>
  <c r="H8" i="17"/>
  <c r="D25" i="8"/>
  <c r="O25" i="8"/>
  <c r="O26" i="8" s="1"/>
  <c r="O27" i="8" s="1"/>
  <c r="E26" i="7"/>
  <c r="D13" i="7"/>
  <c r="D17" i="7"/>
  <c r="D19" i="7" s="1"/>
  <c r="C33" i="7" s="1"/>
  <c r="F25" i="8"/>
  <c r="Q25" i="8"/>
  <c r="AB25" i="8"/>
  <c r="S25" i="8"/>
  <c r="S26" i="8" s="1"/>
  <c r="S27" i="8" s="1"/>
  <c r="F4" i="17"/>
  <c r="F6" i="17" s="1"/>
  <c r="G8" i="14"/>
  <c r="H26" i="8"/>
  <c r="H27" i="8" s="1"/>
  <c r="H28" i="8" s="1"/>
  <c r="E14" i="14" s="1"/>
  <c r="W26" i="8"/>
  <c r="W27" i="8" s="1"/>
  <c r="D16" i="17"/>
  <c r="D18" i="17" s="1"/>
  <c r="D4" i="17"/>
  <c r="D6" i="17" s="1"/>
  <c r="D28" i="17"/>
  <c r="D30" i="17" s="1"/>
  <c r="Q26" i="8"/>
  <c r="Q27" i="8" s="1"/>
  <c r="AB26" i="8"/>
  <c r="C40" i="17"/>
  <c r="C42" i="17" s="1"/>
  <c r="C16" i="17"/>
  <c r="C18" i="17" s="1"/>
  <c r="C4" i="17"/>
  <c r="C6" i="17" s="1"/>
  <c r="D26" i="8"/>
  <c r="D27" i="8" s="1"/>
  <c r="D28" i="8" s="1"/>
  <c r="D40" i="17"/>
  <c r="D42" i="17" s="1"/>
  <c r="E16" i="17"/>
  <c r="E18" i="17" s="1"/>
  <c r="E4" i="17"/>
  <c r="E6" i="17" s="1"/>
  <c r="E28" i="17"/>
  <c r="E30" i="17" s="1"/>
  <c r="E40" i="17"/>
  <c r="E42" i="17" s="1"/>
  <c r="F28" i="17"/>
  <c r="F30" i="17" s="1"/>
  <c r="F40" i="17"/>
  <c r="F42" i="17" s="1"/>
  <c r="J26" i="8"/>
  <c r="U26" i="8"/>
  <c r="U27" i="8" s="1"/>
  <c r="C28" i="17"/>
  <c r="C30" i="17" s="1"/>
  <c r="C14" i="14" l="1"/>
  <c r="C3" i="19" s="1"/>
  <c r="L9" i="14"/>
  <c r="L10" i="14" s="1"/>
  <c r="J1" i="18"/>
  <c r="K9" i="14"/>
  <c r="K10" i="14" s="1"/>
  <c r="G9" i="14"/>
  <c r="G10" i="14" s="1"/>
  <c r="I1" i="18"/>
  <c r="J9" i="14"/>
  <c r="J10" i="14" s="1"/>
  <c r="C9" i="14"/>
  <c r="C10" i="14" s="1"/>
  <c r="C11" i="14" s="1"/>
  <c r="H1" i="18"/>
  <c r="I9" i="14"/>
  <c r="I10" i="14" s="1"/>
  <c r="H9" i="14"/>
  <c r="H10" i="14" s="1"/>
  <c r="H11" i="14" s="1"/>
  <c r="F26" i="8"/>
  <c r="F27" i="8" s="1"/>
  <c r="O28" i="8"/>
  <c r="H14" i="14" s="1"/>
  <c r="E28" i="7"/>
  <c r="C31" i="7" s="1"/>
  <c r="U28" i="8"/>
  <c r="K14" i="14" s="1"/>
  <c r="AB27" i="8"/>
  <c r="AB28" i="8" s="1"/>
  <c r="L14" i="14" s="1"/>
  <c r="J27" i="8"/>
  <c r="J28" i="8" s="1"/>
  <c r="C31" i="8"/>
  <c r="G31" i="8"/>
  <c r="Q28" i="8"/>
  <c r="I14" i="14" s="1"/>
  <c r="W28" i="8"/>
  <c r="G14" i="14" s="1"/>
  <c r="S28" i="8"/>
  <c r="J14" i="14" s="1"/>
  <c r="C38" i="17"/>
  <c r="C43" i="17" s="1"/>
  <c r="C2" i="17"/>
  <c r="C7" i="17" s="1"/>
  <c r="C24" i="14"/>
  <c r="C14" i="17"/>
  <c r="C19" i="17" s="1"/>
  <c r="C21" i="17" s="1"/>
  <c r="C26" i="17"/>
  <c r="C31" i="17" s="1"/>
  <c r="I31" i="8" l="1"/>
  <c r="F14" i="14"/>
  <c r="H13" i="14"/>
  <c r="H15" i="14" s="1"/>
  <c r="I11" i="14"/>
  <c r="I13" i="14"/>
  <c r="I15" i="14" s="1"/>
  <c r="I17" i="18"/>
  <c r="I5" i="18"/>
  <c r="I8" i="18"/>
  <c r="I20" i="18"/>
  <c r="I14" i="18"/>
  <c r="I11" i="18"/>
  <c r="H17" i="18"/>
  <c r="H14" i="18"/>
  <c r="H11" i="18"/>
  <c r="H20" i="18"/>
  <c r="H5" i="18"/>
  <c r="H8" i="18"/>
  <c r="E31" i="7"/>
  <c r="E36" i="7" s="1"/>
  <c r="E9" i="14"/>
  <c r="F9" i="14"/>
  <c r="F10" i="14" s="1"/>
  <c r="C6" i="19"/>
  <c r="D9" i="14"/>
  <c r="D10" i="14" s="1"/>
  <c r="K11" i="14"/>
  <c r="K13" i="14"/>
  <c r="K15" i="14" s="1"/>
  <c r="J11" i="14"/>
  <c r="J13" i="14"/>
  <c r="J15" i="14" s="1"/>
  <c r="J8" i="18"/>
  <c r="J5" i="18"/>
  <c r="J11" i="18"/>
  <c r="J14" i="18"/>
  <c r="J20" i="18"/>
  <c r="J17" i="18"/>
  <c r="F28" i="8"/>
  <c r="D14" i="14" s="1"/>
  <c r="F34" i="17"/>
  <c r="F26" i="17"/>
  <c r="F31" i="17" s="1"/>
  <c r="F38" i="17"/>
  <c r="F43" i="17" s="1"/>
  <c r="F2" i="17"/>
  <c r="F7" i="17" s="1"/>
  <c r="F14" i="17"/>
  <c r="F19" i="17" s="1"/>
  <c r="F24" i="14"/>
  <c r="D14" i="17"/>
  <c r="D19" i="17" s="1"/>
  <c r="D26" i="17"/>
  <c r="D31" i="17" s="1"/>
  <c r="D2" i="17"/>
  <c r="D7" i="17" s="1"/>
  <c r="D24" i="14"/>
  <c r="D38" i="17"/>
  <c r="D43" i="17" s="1"/>
  <c r="D45" i="17" s="1"/>
  <c r="E10" i="17"/>
  <c r="E28" i="14"/>
  <c r="E22" i="17"/>
  <c r="E34" i="17"/>
  <c r="E46" i="17"/>
  <c r="E3" i="19"/>
  <c r="C34" i="17"/>
  <c r="C46" i="17"/>
  <c r="C10" i="17"/>
  <c r="C28" i="14"/>
  <c r="C22" i="17"/>
  <c r="C23" i="17" s="1"/>
  <c r="I3" i="17" s="1"/>
  <c r="C9" i="17"/>
  <c r="C45" i="17"/>
  <c r="E14" i="17"/>
  <c r="E19" i="17" s="1"/>
  <c r="E26" i="17"/>
  <c r="E31" i="17" s="1"/>
  <c r="E38" i="17"/>
  <c r="E43" i="17" s="1"/>
  <c r="E2" i="17"/>
  <c r="E7" i="17" s="1"/>
  <c r="E24" i="14"/>
  <c r="D36" i="7" l="1"/>
  <c r="F22" i="17"/>
  <c r="F6" i="19"/>
  <c r="G4" i="14"/>
  <c r="C5" i="19"/>
  <c r="C7" i="19" s="1"/>
  <c r="C12" i="19" s="1"/>
  <c r="E6" i="19"/>
  <c r="E10" i="14"/>
  <c r="D6" i="19"/>
  <c r="C26" i="14"/>
  <c r="D12" i="14"/>
  <c r="D32" i="17" s="1"/>
  <c r="D33" i="17" s="1"/>
  <c r="F5" i="19"/>
  <c r="F7" i="19" s="1"/>
  <c r="F14" i="19" s="1"/>
  <c r="F12" i="14"/>
  <c r="F32" i="17" s="1"/>
  <c r="F33" i="17" s="1"/>
  <c r="F35" i="17" s="1"/>
  <c r="L4" i="17" s="1"/>
  <c r="E5" i="19"/>
  <c r="E12" i="14"/>
  <c r="E32" i="17" s="1"/>
  <c r="E33" i="17" s="1"/>
  <c r="E35" i="17" s="1"/>
  <c r="K4" i="17" s="1"/>
  <c r="D5" i="19"/>
  <c r="E31" i="8"/>
  <c r="L11" i="14"/>
  <c r="C14" i="19"/>
  <c r="C13" i="19"/>
  <c r="L12" i="14"/>
  <c r="F28" i="14"/>
  <c r="F46" i="17"/>
  <c r="F3" i="19"/>
  <c r="F10" i="17"/>
  <c r="C47" i="17"/>
  <c r="I5" i="17" s="1"/>
  <c r="C11" i="17"/>
  <c r="I2" i="17" s="1"/>
  <c r="D21" i="17"/>
  <c r="D9" i="17"/>
  <c r="E21" i="17"/>
  <c r="E23" i="17" s="1"/>
  <c r="K3" i="17" s="1"/>
  <c r="E9" i="17"/>
  <c r="E11" i="17" s="1"/>
  <c r="K2" i="17" s="1"/>
  <c r="E45" i="17"/>
  <c r="E47" i="17" s="1"/>
  <c r="K5" i="17" s="1"/>
  <c r="F21" i="17"/>
  <c r="F9" i="17"/>
  <c r="F45" i="17"/>
  <c r="F47" i="17" s="1"/>
  <c r="L5" i="17" s="1"/>
  <c r="C12" i="14" l="1"/>
  <c r="C13" i="14" s="1"/>
  <c r="C15" i="14" s="1"/>
  <c r="C21" i="14" s="1"/>
  <c r="E7" i="19"/>
  <c r="E11" i="19" s="1"/>
  <c r="F23" i="17"/>
  <c r="L3" i="17" s="1"/>
  <c r="L8" i="17" s="1"/>
  <c r="E27" i="14"/>
  <c r="G12" i="14"/>
  <c r="G13" i="14" s="1"/>
  <c r="G15" i="14" s="1"/>
  <c r="G11" i="14"/>
  <c r="D27" i="14"/>
  <c r="C2" i="19"/>
  <c r="C4" i="19" s="1"/>
  <c r="C17" i="19" s="1"/>
  <c r="E26" i="14"/>
  <c r="E11" i="14"/>
  <c r="C27" i="14"/>
  <c r="C32" i="17"/>
  <c r="C33" i="17" s="1"/>
  <c r="C35" i="17" s="1"/>
  <c r="I4" i="17" s="1"/>
  <c r="I8" i="17" s="1"/>
  <c r="F26" i="14"/>
  <c r="F11" i="14"/>
  <c r="L13" i="14"/>
  <c r="L15" i="14" s="1"/>
  <c r="D7" i="19"/>
  <c r="D26" i="14"/>
  <c r="D11" i="14"/>
  <c r="C11" i="19"/>
  <c r="C10" i="19"/>
  <c r="F11" i="17"/>
  <c r="L2" i="17" s="1"/>
  <c r="L7" i="17" s="1"/>
  <c r="D22" i="17"/>
  <c r="D23" i="17" s="1"/>
  <c r="J3" i="17" s="1"/>
  <c r="D3" i="19"/>
  <c r="D34" i="17"/>
  <c r="D35" i="17" s="1"/>
  <c r="J4" i="17" s="1"/>
  <c r="D46" i="17"/>
  <c r="D47" i="17" s="1"/>
  <c r="J5" i="17" s="1"/>
  <c r="D28" i="14"/>
  <c r="D10" i="17"/>
  <c r="D11" i="17" s="1"/>
  <c r="J2" i="17" s="1"/>
  <c r="E10" i="19"/>
  <c r="E14" i="19"/>
  <c r="F11" i="19"/>
  <c r="F12" i="19"/>
  <c r="F27" i="14"/>
  <c r="E13" i="19"/>
  <c r="F13" i="19"/>
  <c r="E12" i="19"/>
  <c r="F10" i="19"/>
  <c r="E13" i="20"/>
  <c r="K9" i="17"/>
  <c r="F13" i="20"/>
  <c r="L9" i="17"/>
  <c r="E10" i="20"/>
  <c r="K7" i="17"/>
  <c r="E11" i="20"/>
  <c r="K8" i="17"/>
  <c r="F11" i="20" l="1"/>
  <c r="I9" i="17"/>
  <c r="C18" i="19"/>
  <c r="C23" i="19" s="1"/>
  <c r="C19" i="19"/>
  <c r="C10" i="20"/>
  <c r="C13" i="20"/>
  <c r="C11" i="20"/>
  <c r="I7" i="17"/>
  <c r="D13" i="20"/>
  <c r="E13" i="14"/>
  <c r="E15" i="14" s="1"/>
  <c r="E2" i="19"/>
  <c r="E4" i="19" s="1"/>
  <c r="E16" i="19" s="1"/>
  <c r="D11" i="19"/>
  <c r="D14" i="19"/>
  <c r="D10" i="19"/>
  <c r="D13" i="19"/>
  <c r="D12" i="19"/>
  <c r="C16" i="19"/>
  <c r="C17" i="20" s="1"/>
  <c r="C15" i="19"/>
  <c r="C16" i="20" s="1"/>
  <c r="D13" i="14"/>
  <c r="D15" i="14" s="1"/>
  <c r="D2" i="19"/>
  <c r="D4" i="19" s="1"/>
  <c r="F2" i="19"/>
  <c r="F4" i="19" s="1"/>
  <c r="F13" i="14"/>
  <c r="F15" i="14" s="1"/>
  <c r="M4" i="18"/>
  <c r="C4" i="20"/>
  <c r="C24" i="20" s="1"/>
  <c r="M7" i="18"/>
  <c r="C18" i="20"/>
  <c r="M9" i="18"/>
  <c r="M6" i="18"/>
  <c r="C12" i="20"/>
  <c r="M5" i="18"/>
  <c r="M8" i="18"/>
  <c r="F10" i="20"/>
  <c r="D11" i="20"/>
  <c r="J8" i="17"/>
  <c r="D10" i="20"/>
  <c r="J7" i="17"/>
  <c r="J9" i="17"/>
  <c r="D16" i="19" l="1"/>
  <c r="C19" i="20"/>
  <c r="C6" i="20"/>
  <c r="C24" i="19"/>
  <c r="D19" i="19"/>
  <c r="C20" i="20"/>
  <c r="C22" i="19"/>
  <c r="E17" i="19"/>
  <c r="C5" i="20"/>
  <c r="E18" i="19"/>
  <c r="C30" i="20"/>
  <c r="D30" i="20" s="1"/>
  <c r="C28" i="20"/>
  <c r="D28" i="20" s="1"/>
  <c r="C29" i="20"/>
  <c r="D29" i="20" s="1"/>
  <c r="C27" i="20"/>
  <c r="D27" i="20" s="1"/>
  <c r="D18" i="19"/>
  <c r="D17" i="19"/>
  <c r="D22" i="19" s="1"/>
  <c r="D15" i="19"/>
  <c r="D21" i="19" s="1"/>
  <c r="C3" i="20"/>
  <c r="C7" i="20"/>
  <c r="C2" i="20"/>
  <c r="D21" i="14"/>
  <c r="D12" i="20"/>
  <c r="N7" i="18"/>
  <c r="N9" i="18"/>
  <c r="N5" i="18"/>
  <c r="N8" i="18"/>
  <c r="D4" i="20"/>
  <c r="E24" i="20" s="1"/>
  <c r="N6" i="18"/>
  <c r="D18" i="20"/>
  <c r="N4" i="18"/>
  <c r="C21" i="19"/>
  <c r="E21" i="14"/>
  <c r="E4" i="20"/>
  <c r="G24" i="20" s="1"/>
  <c r="O9" i="18"/>
  <c r="O5" i="18"/>
  <c r="O6" i="18"/>
  <c r="O7" i="18"/>
  <c r="E18" i="20"/>
  <c r="O8" i="18"/>
  <c r="E12" i="20"/>
  <c r="O4" i="18"/>
  <c r="F16" i="19"/>
  <c r="F19" i="19"/>
  <c r="F15" i="19"/>
  <c r="P7" i="18"/>
  <c r="P5" i="18"/>
  <c r="P9" i="18"/>
  <c r="F18" i="20"/>
  <c r="F21" i="14"/>
  <c r="F12" i="20"/>
  <c r="P6" i="18"/>
  <c r="F4" i="20"/>
  <c r="I24" i="20" s="1"/>
  <c r="P4" i="18"/>
  <c r="P8" i="18"/>
  <c r="F17" i="19"/>
  <c r="E15" i="19"/>
  <c r="E19" i="19"/>
  <c r="F18" i="19"/>
  <c r="D24" i="19" l="1"/>
  <c r="E19" i="20"/>
  <c r="G30" i="20" s="1"/>
  <c r="H30" i="20" s="1"/>
  <c r="F16" i="20"/>
  <c r="F22" i="19"/>
  <c r="E23" i="19"/>
  <c r="E17" i="20"/>
  <c r="G29" i="20" s="1"/>
  <c r="H29" i="20" s="1"/>
  <c r="E22" i="19"/>
  <c r="E21" i="19"/>
  <c r="E16" i="20"/>
  <c r="D7" i="20"/>
  <c r="N15" i="18"/>
  <c r="D17" i="20"/>
  <c r="E29" i="20" s="1"/>
  <c r="F29" i="20" s="1"/>
  <c r="P15" i="18"/>
  <c r="F7" i="20"/>
  <c r="F20" i="20"/>
  <c r="F24" i="19"/>
  <c r="E6" i="20"/>
  <c r="G26" i="20" s="1"/>
  <c r="H26" i="20" s="1"/>
  <c r="O14" i="18"/>
  <c r="O12" i="18"/>
  <c r="E3" i="20"/>
  <c r="E28" i="20"/>
  <c r="F28" i="20" s="1"/>
  <c r="E27" i="20"/>
  <c r="F27" i="20" s="1"/>
  <c r="D5" i="20"/>
  <c r="N13" i="18"/>
  <c r="D19" i="20"/>
  <c r="E30" i="20" s="1"/>
  <c r="F30" i="20" s="1"/>
  <c r="D23" i="19"/>
  <c r="F23" i="19"/>
  <c r="F19" i="20"/>
  <c r="I30" i="20" s="1"/>
  <c r="J30" i="20" s="1"/>
  <c r="P14" i="18"/>
  <c r="F6" i="20"/>
  <c r="I26" i="20" s="1"/>
  <c r="J26" i="20" s="1"/>
  <c r="F3" i="20"/>
  <c r="P12" i="18"/>
  <c r="F21" i="19"/>
  <c r="F17" i="20"/>
  <c r="I29" i="20" s="1"/>
  <c r="J29" i="20" s="1"/>
  <c r="O15" i="18"/>
  <c r="E7" i="20"/>
  <c r="N11" i="18"/>
  <c r="D2" i="20"/>
  <c r="E25" i="20" s="1"/>
  <c r="F25" i="20" s="1"/>
  <c r="N14" i="18"/>
  <c r="D6" i="20"/>
  <c r="E26" i="20" s="1"/>
  <c r="F26" i="20" s="1"/>
  <c r="E20" i="20"/>
  <c r="E24" i="19"/>
  <c r="P11" i="18"/>
  <c r="F2" i="20"/>
  <c r="I25" i="20" s="1"/>
  <c r="J25" i="20" s="1"/>
  <c r="P13" i="18"/>
  <c r="F5" i="20"/>
  <c r="E2" i="20"/>
  <c r="G25" i="20" s="1"/>
  <c r="H25" i="20" s="1"/>
  <c r="O11" i="18"/>
  <c r="O13" i="18"/>
  <c r="E5" i="20"/>
  <c r="G28" i="20"/>
  <c r="H28" i="20" s="1"/>
  <c r="G27" i="20"/>
  <c r="H27" i="20" s="1"/>
  <c r="N12" i="18"/>
  <c r="D3" i="20"/>
  <c r="D16" i="20"/>
  <c r="D20" i="20"/>
  <c r="I28" i="20"/>
  <c r="J28" i="20" s="1"/>
  <c r="I27" i="20"/>
  <c r="J27" i="20" s="1"/>
</calcChain>
</file>

<file path=xl/sharedStrings.xml><?xml version="1.0" encoding="utf-8"?>
<sst xmlns="http://schemas.openxmlformats.org/spreadsheetml/2006/main" count="476" uniqueCount="202">
  <si>
    <t>Déplacement</t>
  </si>
  <si>
    <t xml:space="preserve">Fournitures </t>
  </si>
  <si>
    <t>Total</t>
  </si>
  <si>
    <t>Paniers</t>
  </si>
  <si>
    <t>Assurance</t>
  </si>
  <si>
    <t>Gsm</t>
  </si>
  <si>
    <t>Frais péage / Parking</t>
  </si>
  <si>
    <t>Amort matériel 5K / 36 mois</t>
  </si>
  <si>
    <t>Km</t>
  </si>
  <si>
    <t>Désignation</t>
  </si>
  <si>
    <t>Colliers</t>
  </si>
  <si>
    <t>Reboucheur</t>
  </si>
  <si>
    <t>Vis chevilles</t>
  </si>
  <si>
    <t>Heures Supp ( 10 par mois )</t>
  </si>
  <si>
    <t>Assurance Rcs Tx &amp; Décénnale</t>
  </si>
  <si>
    <t>Formation 2%</t>
  </si>
  <si>
    <t>Marge</t>
  </si>
  <si>
    <t>Etiquettes à Frapper</t>
  </si>
  <si>
    <t>Pince Ancrage</t>
  </si>
  <si>
    <t>Queue de cochon mix bois/fer</t>
  </si>
  <si>
    <t>Traverse 11 trous</t>
  </si>
  <si>
    <t>Traverse 15 trous</t>
  </si>
  <si>
    <t>Semelle Universelle</t>
  </si>
  <si>
    <t>Réhausse</t>
  </si>
  <si>
    <t>Feuillard</t>
  </si>
  <si>
    <t>Demi lune 2,5 ml</t>
  </si>
  <si>
    <t>Boulons</t>
  </si>
  <si>
    <t xml:space="preserve">RECONNEXION FTTH </t>
  </si>
  <si>
    <t>CRI</t>
  </si>
  <si>
    <t>Remballage Matériel</t>
  </si>
  <si>
    <t xml:space="preserve">Soudure PBO </t>
  </si>
  <si>
    <t>Préparation Fibres</t>
  </si>
  <si>
    <t>Reconnexion
 FTTH</t>
  </si>
  <si>
    <t>Base mensuelle</t>
  </si>
  <si>
    <t>Coût annuel</t>
  </si>
  <si>
    <t>Nombre heure / mois et /année</t>
  </si>
  <si>
    <t>Nb  mois de référence</t>
  </si>
  <si>
    <t>Description</t>
  </si>
  <si>
    <t>TOTAL</t>
  </si>
  <si>
    <t>Salaire Brut ( taux horaire brut)</t>
  </si>
  <si>
    <t>Charges (50%)</t>
  </si>
  <si>
    <t>Coût / km</t>
  </si>
  <si>
    <t>Vitesse moyenne (km/h)</t>
  </si>
  <si>
    <t>Qté</t>
  </si>
  <si>
    <t>Coût d'un technicien / mn (base 50€/h)</t>
  </si>
  <si>
    <t>Coût / u</t>
  </si>
  <si>
    <t xml:space="preserve">Nb km moyen d'un déplacement </t>
  </si>
  <si>
    <t xml:space="preserve">Temps de déplacement (mn) </t>
  </si>
  <si>
    <t xml:space="preserve">Préparation de l'intervention (confirmation rdv, consultation plan…) </t>
  </si>
  <si>
    <t xml:space="preserve">Tirage du câble extérieur </t>
  </si>
  <si>
    <t>Déplacement et brassage PM</t>
  </si>
  <si>
    <t>Taux horaire</t>
  </si>
  <si>
    <t>Durée</t>
  </si>
  <si>
    <t>Plus value ml supp.</t>
  </si>
  <si>
    <t>Coût</t>
  </si>
  <si>
    <t>1 Tech</t>
  </si>
  <si>
    <t>2 Tech</t>
  </si>
  <si>
    <t xml:space="preserve">Immeuble </t>
  </si>
  <si>
    <t>Aérien</t>
  </si>
  <si>
    <t>Façade</t>
  </si>
  <si>
    <t>+ 30 ml  Immeuble</t>
  </si>
  <si>
    <t>+ 30 ml Façade</t>
  </si>
  <si>
    <t>+ 30 ml Aérien</t>
  </si>
  <si>
    <t>U</t>
  </si>
  <si>
    <t>Souterrain</t>
  </si>
  <si>
    <t>Immeuble</t>
  </si>
  <si>
    <t>PU HT</t>
  </si>
  <si>
    <t>Total HT</t>
  </si>
  <si>
    <t>S/Total</t>
  </si>
  <si>
    <t>Chutes</t>
  </si>
  <si>
    <t>Reconnexion</t>
  </si>
  <si>
    <t>+30 ml Immeuble</t>
  </si>
  <si>
    <t>+ 30 ml Souterrain</t>
  </si>
  <si>
    <t>Jarretière PM 3,5 ml</t>
  </si>
  <si>
    <t>Jarretière Abonné 2ml</t>
  </si>
  <si>
    <t>PTO  + Pigtail</t>
  </si>
  <si>
    <t>Linéaires</t>
  </si>
  <si>
    <t xml:space="preserve">Linéaire retenu pour la fourniture du câble </t>
  </si>
  <si>
    <t>- dont câble extérieur au local</t>
  </si>
  <si>
    <t>Linéaire retenu pour le coût de la Main d'œuvre</t>
  </si>
  <si>
    <t>Total hors Matériel</t>
  </si>
  <si>
    <t>Variation</t>
  </si>
  <si>
    <t>+ 30 ml  Souterrain</t>
  </si>
  <si>
    <t>Installation et test fonctionnement ONT</t>
  </si>
  <si>
    <t>Déplacement sur le chantier</t>
  </si>
  <si>
    <t>Nacelle</t>
  </si>
  <si>
    <t>FTTE</t>
  </si>
  <si>
    <t xml:space="preserve">FTTE </t>
  </si>
  <si>
    <t>FTTE 
(150 ml)</t>
  </si>
  <si>
    <t>Echecs (déplct+ 0,5h à 1h)</t>
  </si>
  <si>
    <t>Kilométrage Annuel ( 11 mois x 21 j x 150km/j ) (*)</t>
  </si>
  <si>
    <t>Déplacement et brassage au PM</t>
  </si>
  <si>
    <t>Main d'œuvre</t>
  </si>
  <si>
    <t>Taux horaire (HT)</t>
  </si>
  <si>
    <t xml:space="preserve">Typologie de raccordement </t>
  </si>
  <si>
    <t>ETP</t>
  </si>
  <si>
    <t>Nb pers.présentes</t>
  </si>
  <si>
    <t>Durée Intervention</t>
  </si>
  <si>
    <t>Nombre moyen d'interventions programmées par équipe par jour (hors échecs)</t>
  </si>
  <si>
    <t>Nombre moyen d'interventions réellement réalisées par équipe par jour (yc échecs)</t>
  </si>
  <si>
    <t>Matériels</t>
  </si>
  <si>
    <t xml:space="preserve">Nombre brut (sans échecs) / jour </t>
  </si>
  <si>
    <t>Tirage intérieur</t>
  </si>
  <si>
    <t>Temps (mn)</t>
  </si>
  <si>
    <t>Linéaire extérieur moyen (ml)</t>
  </si>
  <si>
    <t>Cadence "brute" en mn/ml</t>
  </si>
  <si>
    <t>18 mn</t>
  </si>
  <si>
    <t>30 mn</t>
  </si>
  <si>
    <t>45 mn</t>
  </si>
  <si>
    <t>55 mn</t>
  </si>
  <si>
    <t>15 ml</t>
  </si>
  <si>
    <t>70 ml</t>
  </si>
  <si>
    <t>40 ml</t>
  </si>
  <si>
    <t>0,43 mn / ml</t>
  </si>
  <si>
    <t>1,13 mn / ml</t>
  </si>
  <si>
    <t>0,79 mn / ml</t>
  </si>
  <si>
    <t>2 en théorie, 
1 régulièrement</t>
  </si>
  <si>
    <t>13 mn</t>
  </si>
  <si>
    <t>10 mn</t>
  </si>
  <si>
    <t>30 ml</t>
  </si>
  <si>
    <t>0,87 mn/ml</t>
  </si>
  <si>
    <t>0,33 mn / ml</t>
  </si>
  <si>
    <t>1,2 mn / ml</t>
  </si>
  <si>
    <t>Variation (ml)</t>
  </si>
  <si>
    <t>S/TOTALTemps unités d'œuvre</t>
  </si>
  <si>
    <t>Si pas d'échecs</t>
  </si>
  <si>
    <t xml:space="preserve">Déplacement </t>
  </si>
  <si>
    <t>Coût d'un échec</t>
  </si>
  <si>
    <t>Coût de l'échec en fonction du taux d'échec</t>
  </si>
  <si>
    <t>Coût yc échec</t>
  </si>
  <si>
    <t>Taux d'échec
(en %)</t>
  </si>
  <si>
    <t>30 à 40%</t>
  </si>
  <si>
    <t>20 à 30%</t>
  </si>
  <si>
    <t>10 à 20%</t>
  </si>
  <si>
    <t>0 à 10%</t>
  </si>
  <si>
    <t>Variation de l'échec</t>
  </si>
  <si>
    <t>Comparaison des typologies</t>
  </si>
  <si>
    <t>Variation relative des linéaires ext.</t>
  </si>
  <si>
    <t>Données</t>
  </si>
  <si>
    <t>Simulations</t>
  </si>
  <si>
    <t>N/A</t>
  </si>
  <si>
    <t>Paramètre de sensibilité</t>
  </si>
  <si>
    <t>+ 30 ml</t>
  </si>
  <si>
    <t>- 10%</t>
  </si>
  <si>
    <t>+ 10%</t>
  </si>
  <si>
    <t>+ 5 €</t>
  </si>
  <si>
    <t>Taux horaire 
(type : 50€)</t>
  </si>
  <si>
    <t>Linéaires ext. 
(ml selon typologies)</t>
  </si>
  <si>
    <t>Taux d'échec
(type : 20%)</t>
  </si>
  <si>
    <t>Variation du paramètre</t>
  </si>
  <si>
    <t xml:space="preserve">Nombre brut (yc 20% d'échecs) / jour </t>
  </si>
  <si>
    <t>Coût d'un technicien / mn (base 40€/h)</t>
  </si>
  <si>
    <t>Coût d'un technicien / mn (base 45€/h)</t>
  </si>
  <si>
    <t>Coût d'un technicien / mn (base 55€/h)</t>
  </si>
  <si>
    <t>Taux horaire 
(2 personnes)</t>
  </si>
  <si>
    <t>Taux Horaire</t>
  </si>
  <si>
    <t>Total hors Échecs</t>
  </si>
  <si>
    <t>Taux Échecs 
(coût = déplct+ 0,5h à 1h)</t>
  </si>
  <si>
    <t>Échecs</t>
  </si>
  <si>
    <t>Nb mois de référence</t>
  </si>
  <si>
    <t>Frais Généraux / Encadrement (20% )</t>
  </si>
  <si>
    <t>Taux horaire moyen brut NON MARGÉ</t>
  </si>
  <si>
    <t>Taux horaire vendu (MARGÉ sur PV : 20%)</t>
  </si>
  <si>
    <t>TOTAL NON MARGÉ</t>
  </si>
  <si>
    <t>TOTAL vendu (MARGÉ sur PV : 20%)</t>
  </si>
  <si>
    <t>Véhicule + Entretien</t>
  </si>
  <si>
    <t>Carburant 
(3,2K km/mois x 1,5 €/L + 10L/100km)</t>
  </si>
  <si>
    <t>Coût véhicule au KM</t>
  </si>
  <si>
    <t>Coût véhicule au km</t>
  </si>
  <si>
    <t>(*) Le kilométrage pris en compte pour le calcul du coût de revient du véhicule est le kilométrage total constaté. Celui-ci inclut en particulier les trajets domicile / travail, trajets personnels et plus généralement tous les déplacements réalisés par ce véhicule.</t>
  </si>
  <si>
    <t>TÂCHE</t>
  </si>
  <si>
    <t>Mise en Place Outillages et Matériels</t>
  </si>
  <si>
    <t>Installation PTO et soudure</t>
  </si>
  <si>
    <t>VOIR LE SYNOPTIQUE DES TÂCHES POUR LE DÉTAIL DES CALCULS CI-APRÈS</t>
  </si>
  <si>
    <t>Nettoyage + Finitions + Étiquetage</t>
  </si>
  <si>
    <t>Installation intérieure</t>
  </si>
  <si>
    <t>Finitions, Étiquetage, Remballage</t>
  </si>
  <si>
    <t>Nb personnes présentes</t>
  </si>
  <si>
    <t>Linéaire intérieur moyen (ml)</t>
  </si>
  <si>
    <t>Câble Indoor</t>
  </si>
  <si>
    <t>Câble Indoor/Outdoor</t>
  </si>
  <si>
    <t>Agraphes et/ou colle</t>
  </si>
  <si>
    <t>Embases fix câble</t>
  </si>
  <si>
    <t>Étiquettes Brady PM/PBO/PTO</t>
  </si>
  <si>
    <t>- dont câble intérieur au local</t>
  </si>
  <si>
    <t>Temps cumulé</t>
  </si>
  <si>
    <t>Échecs (déplct+ 0,5h à 1h)</t>
  </si>
  <si>
    <t>Total y c Matériel et Échecs</t>
  </si>
  <si>
    <t>Petits Matériel</t>
  </si>
  <si>
    <t>Total yc Matériel et mise en service ONT</t>
  </si>
  <si>
    <t>Total hors Matériels et hors Échecs</t>
  </si>
  <si>
    <t>Temps Échec (45mn x nb personnes)</t>
  </si>
  <si>
    <t>Total  0% d'échec</t>
  </si>
  <si>
    <t>Tirage extérieur</t>
  </si>
  <si>
    <t>TOTAL (supplément)</t>
  </si>
  <si>
    <t>Durée de l'intervention (mn)</t>
  </si>
  <si>
    <t>ETP (mn)</t>
  </si>
  <si>
    <r>
      <t>Jarretière PM 3,5 ml (</t>
    </r>
    <r>
      <rPr>
        <b/>
        <sz val="10"/>
        <rFont val="Calibri"/>
        <family val="2"/>
        <scheme val="minor"/>
      </rPr>
      <t>pour l'OC</t>
    </r>
    <r>
      <rPr>
        <sz val="10"/>
        <rFont val="Calibri"/>
        <family val="2"/>
        <scheme val="minor"/>
      </rPr>
      <t>)</t>
    </r>
  </si>
  <si>
    <t>Code Couleur</t>
  </si>
  <si>
    <r>
      <t xml:space="preserve">À imputer à l'OC (brassage et installation test ONT qui sont réalisés à chaque </t>
    </r>
    <r>
      <rPr>
        <i/>
        <sz val="10"/>
        <rFont val="Arial"/>
        <family val="2"/>
      </rPr>
      <t>churn)</t>
    </r>
  </si>
  <si>
    <t>Déplacement
 (hors main d'œuvre)</t>
  </si>
  <si>
    <t>Main d'œuvre 
(yc déplacement &amp; mise en service 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</si>
</sst>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h:mm:ss;@"/>
    <numFmt numFmtId="166" formatCode="#,##0.0\ &quot;€&quot;"/>
    <numFmt numFmtId="167" formatCode="#,##0\ &quot;€&quot;"/>
    <numFmt numFmtId="168" formatCode="0.0"/>
    <numFmt numFmtId="169" formatCode="General&quot;mn&quot;"/>
    <numFmt numFmtId="170" formatCode="General\ &quot;ml&quot;"/>
    <numFmt numFmtId="171" formatCode="0.0%"/>
    <numFmt numFmtId="172" formatCode="_-* #,##0.00\ [$€-40C]_-;\-* #,##0.00\ [$€-40C]_-;_-* &quot;-&quot;??\ [$€-40C]_-;_-@_-"/>
    <numFmt numFmtId="173" formatCode="#,##0_ ;\-#,##0\ "/>
    <numFmt numFmtId="174" formatCode="#,##0.00_ ;\-#,##0.00\ 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9"/>
      <color theme="0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9"/>
      <color rgb="FF0099FF"/>
      <name val="Calibri"/>
      <family val="2"/>
      <scheme val="minor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172" fontId="0" fillId="0" borderId="0"/>
    <xf numFmtId="44" fontId="3" fillId="0" borderId="0" applyFont="0" applyFill="0" applyBorder="0" applyAlignment="0" applyProtection="0"/>
    <xf numFmtId="172" fontId="4" fillId="0" borderId="0"/>
    <xf numFmtId="172" fontId="5" fillId="0" borderId="0"/>
    <xf numFmtId="172" fontId="2" fillId="0" borderId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172" fontId="3" fillId="0" borderId="0"/>
    <xf numFmtId="172" fontId="26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1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2">
    <xf numFmtId="172" fontId="0" fillId="0" borderId="0" xfId="0"/>
    <xf numFmtId="172" fontId="7" fillId="0" borderId="3" xfId="0" applyFont="1" applyBorder="1" applyAlignment="1">
      <alignment vertical="center"/>
    </xf>
    <xf numFmtId="172" fontId="7" fillId="0" borderId="3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72" fontId="7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72" fontId="10" fillId="0" borderId="0" xfId="0" applyFont="1" applyAlignment="1">
      <alignment horizontal="left" vertical="center"/>
    </xf>
    <xf numFmtId="172" fontId="9" fillId="0" borderId="0" xfId="0" applyFont="1" applyBorder="1" applyAlignment="1">
      <alignment horizontal="left" vertical="center"/>
    </xf>
    <xf numFmtId="172" fontId="9" fillId="0" borderId="0" xfId="0" applyFont="1" applyBorder="1" applyAlignment="1">
      <alignment horizontal="center" vertical="center"/>
    </xf>
    <xf numFmtId="172" fontId="9" fillId="0" borderId="0" xfId="0" applyFont="1" applyFill="1" applyBorder="1" applyAlignment="1">
      <alignment horizontal="center" vertical="center"/>
    </xf>
    <xf numFmtId="172" fontId="9" fillId="0" borderId="0" xfId="0" applyFont="1" applyAlignment="1">
      <alignment vertical="center"/>
    </xf>
    <xf numFmtId="172" fontId="10" fillId="0" borderId="0" xfId="0" applyFont="1" applyAlignment="1">
      <alignment horizontal="center" vertical="center"/>
    </xf>
    <xf numFmtId="172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72" fontId="7" fillId="0" borderId="0" xfId="0" applyFont="1" applyAlignment="1">
      <alignment vertical="center"/>
    </xf>
    <xf numFmtId="172" fontId="7" fillId="0" borderId="0" xfId="0" applyFont="1" applyAlignment="1">
      <alignment horizontal="center" vertical="center"/>
    </xf>
    <xf numFmtId="172" fontId="7" fillId="0" borderId="3" xfId="0" applyFont="1" applyBorder="1" applyAlignment="1">
      <alignment horizontal="left" vertical="center"/>
    </xf>
    <xf numFmtId="172" fontId="7" fillId="0" borderId="3" xfId="0" applyFont="1" applyFill="1" applyBorder="1" applyAlignment="1">
      <alignment horizontal="left" vertical="center"/>
    </xf>
    <xf numFmtId="172" fontId="7" fillId="0" borderId="0" xfId="0" applyFont="1" applyBorder="1" applyAlignment="1">
      <alignment horizontal="center" vertical="center"/>
    </xf>
    <xf numFmtId="172" fontId="7" fillId="0" borderId="0" xfId="0" applyFont="1" applyFill="1" applyAlignment="1">
      <alignment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72" fontId="11" fillId="2" borderId="0" xfId="0" applyFont="1" applyFill="1" applyBorder="1" applyAlignment="1">
      <alignment horizontal="left" vertical="center"/>
    </xf>
    <xf numFmtId="172" fontId="11" fillId="2" borderId="3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72" fontId="7" fillId="0" borderId="3" xfId="0" applyFont="1" applyFill="1" applyBorder="1" applyAlignment="1">
      <alignment horizontal="center" vertical="center"/>
    </xf>
    <xf numFmtId="172" fontId="11" fillId="2" borderId="3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vertical="center"/>
    </xf>
    <xf numFmtId="172" fontId="11" fillId="2" borderId="3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right" vertical="center"/>
    </xf>
    <xf numFmtId="172" fontId="7" fillId="0" borderId="0" xfId="0" applyFont="1" applyBorder="1" applyAlignment="1">
      <alignment vertical="center"/>
    </xf>
    <xf numFmtId="164" fontId="7" fillId="0" borderId="0" xfId="6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72" fontId="7" fillId="0" borderId="0" xfId="0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center" vertical="center"/>
    </xf>
    <xf numFmtId="172" fontId="7" fillId="0" borderId="3" xfId="0" applyFont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 applyProtection="1">
      <alignment horizontal="center" vertical="center"/>
      <protection locked="0"/>
    </xf>
    <xf numFmtId="165" fontId="8" fillId="0" borderId="0" xfId="0" applyNumberFormat="1" applyFont="1" applyFill="1" applyBorder="1" applyAlignment="1">
      <alignment horizontal="center" vertical="center"/>
    </xf>
    <xf numFmtId="169" fontId="10" fillId="0" borderId="3" xfId="0" applyNumberFormat="1" applyFont="1" applyFill="1" applyBorder="1" applyAlignment="1" applyProtection="1">
      <alignment horizontal="center" vertical="center"/>
      <protection locked="0"/>
    </xf>
    <xf numFmtId="169" fontId="15" fillId="2" borderId="3" xfId="0" applyNumberFormat="1" applyFont="1" applyFill="1" applyBorder="1" applyAlignment="1" applyProtection="1">
      <alignment horizontal="center" vertical="center"/>
      <protection locked="0"/>
    </xf>
    <xf numFmtId="172" fontId="11" fillId="2" borderId="0" xfId="0" applyFont="1" applyFill="1" applyAlignment="1">
      <alignment horizontal="left" vertical="center"/>
    </xf>
    <xf numFmtId="172" fontId="8" fillId="0" borderId="0" xfId="0" applyFont="1" applyAlignment="1">
      <alignment horizontal="lef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72" fontId="11" fillId="2" borderId="3" xfId="0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vertical="center"/>
    </xf>
    <xf numFmtId="172" fontId="7" fillId="3" borderId="3" xfId="0" applyFont="1" applyFill="1" applyBorder="1" applyAlignment="1">
      <alignment horizontal="center" vertical="center"/>
    </xf>
    <xf numFmtId="172" fontId="7" fillId="3" borderId="9" xfId="0" applyFont="1" applyFill="1" applyBorder="1" applyAlignment="1">
      <alignment horizontal="center" vertical="center"/>
    </xf>
    <xf numFmtId="172" fontId="11" fillId="2" borderId="9" xfId="0" applyFont="1" applyFill="1" applyBorder="1" applyAlignment="1">
      <alignment horizontal="center" vertical="center"/>
    </xf>
    <xf numFmtId="9" fontId="7" fillId="0" borderId="3" xfId="7" applyFont="1" applyFill="1" applyBorder="1" applyAlignment="1">
      <alignment horizontal="center" vertical="center"/>
    </xf>
    <xf numFmtId="170" fontId="7" fillId="0" borderId="3" xfId="0" applyNumberFormat="1" applyFont="1" applyBorder="1" applyAlignment="1">
      <alignment vertical="center"/>
    </xf>
    <xf numFmtId="172" fontId="7" fillId="3" borderId="3" xfId="0" applyFont="1" applyFill="1" applyBorder="1" applyAlignment="1">
      <alignment vertical="center"/>
    </xf>
    <xf numFmtId="170" fontId="7" fillId="3" borderId="3" xfId="0" applyNumberFormat="1" applyFont="1" applyFill="1" applyBorder="1" applyAlignment="1">
      <alignment vertical="center"/>
    </xf>
    <xf numFmtId="172" fontId="7" fillId="0" borderId="3" xfId="0" quotePrefix="1" applyFont="1" applyBorder="1" applyAlignment="1">
      <alignment vertical="center"/>
    </xf>
    <xf numFmtId="172" fontId="7" fillId="0" borderId="3" xfId="0" applyFont="1" applyFill="1" applyBorder="1" applyAlignment="1">
      <alignment horizontal="right" vertical="center"/>
    </xf>
    <xf numFmtId="172" fontId="8" fillId="0" borderId="0" xfId="0" applyFont="1" applyAlignment="1">
      <alignment vertical="center"/>
    </xf>
    <xf numFmtId="172" fontId="11" fillId="2" borderId="3" xfId="0" quotePrefix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 applyProtection="1">
      <alignment horizontal="right" vertical="center"/>
      <protection locked="0"/>
    </xf>
    <xf numFmtId="44" fontId="7" fillId="0" borderId="3" xfId="1" applyFont="1" applyFill="1" applyBorder="1" applyAlignment="1" applyProtection="1">
      <alignment horizontal="right" vertical="center"/>
      <protection locked="0"/>
    </xf>
    <xf numFmtId="169" fontId="7" fillId="0" borderId="3" xfId="0" applyNumberFormat="1" applyFont="1" applyFill="1" applyBorder="1" applyAlignment="1" applyProtection="1">
      <alignment horizontal="right" vertical="center"/>
      <protection locked="0"/>
    </xf>
    <xf numFmtId="167" fontId="7" fillId="0" borderId="3" xfId="0" applyNumberFormat="1" applyFont="1" applyFill="1" applyBorder="1" applyAlignment="1" applyProtection="1">
      <alignment horizontal="right" vertical="center"/>
      <protection locked="0"/>
    </xf>
    <xf numFmtId="164" fontId="7" fillId="0" borderId="3" xfId="1" applyNumberFormat="1" applyFont="1" applyFill="1" applyBorder="1" applyAlignment="1" applyProtection="1">
      <alignment horizontal="right" vertical="center"/>
      <protection locked="0"/>
    </xf>
    <xf numFmtId="168" fontId="8" fillId="3" borderId="3" xfId="0" applyNumberFormat="1" applyFont="1" applyFill="1" applyBorder="1" applyAlignment="1">
      <alignment horizontal="center" vertical="center"/>
    </xf>
    <xf numFmtId="172" fontId="16" fillId="0" borderId="0" xfId="0" applyFont="1" applyBorder="1" applyAlignment="1">
      <alignment vertical="center" wrapText="1"/>
    </xf>
    <xf numFmtId="172" fontId="17" fillId="2" borderId="3" xfId="0" applyFont="1" applyFill="1" applyBorder="1" applyAlignment="1">
      <alignment horizontal="center" vertical="center" wrapText="1"/>
    </xf>
    <xf numFmtId="172" fontId="18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wrapText="1"/>
    </xf>
    <xf numFmtId="172" fontId="16" fillId="0" borderId="0" xfId="0" applyFont="1" applyAlignment="1">
      <alignment vertical="center" wrapText="1"/>
    </xf>
    <xf numFmtId="171" fontId="0" fillId="0" borderId="0" xfId="0" applyNumberFormat="1"/>
    <xf numFmtId="171" fontId="0" fillId="0" borderId="0" xfId="0" applyNumberFormat="1" applyFill="1" applyBorder="1"/>
    <xf numFmtId="172" fontId="0" fillId="0" borderId="0" xfId="0" applyFill="1" applyBorder="1"/>
    <xf numFmtId="171" fontId="16" fillId="0" borderId="0" xfId="0" applyNumberFormat="1" applyFont="1"/>
    <xf numFmtId="170" fontId="11" fillId="2" borderId="3" xfId="0" applyNumberFormat="1" applyFont="1" applyFill="1" applyBorder="1" applyAlignment="1">
      <alignment horizontal="center" vertical="center"/>
    </xf>
    <xf numFmtId="172" fontId="11" fillId="2" borderId="3" xfId="0" quotePrefix="1" applyFont="1" applyFill="1" applyBorder="1" applyAlignment="1">
      <alignment horizontal="center" vertical="center" wrapText="1"/>
    </xf>
    <xf numFmtId="172" fontId="11" fillId="2" borderId="3" xfId="0" applyFont="1" applyFill="1" applyBorder="1" applyAlignment="1">
      <alignment horizontal="center" vertical="center"/>
    </xf>
    <xf numFmtId="172" fontId="11" fillId="2" borderId="3" xfId="0" applyFont="1" applyFill="1" applyBorder="1" applyAlignment="1">
      <alignment horizontal="left" vertical="center"/>
    </xf>
    <xf numFmtId="172" fontId="11" fillId="2" borderId="3" xfId="0" applyFont="1" applyFill="1" applyBorder="1" applyAlignment="1">
      <alignment horizontal="center" vertical="center"/>
    </xf>
    <xf numFmtId="172" fontId="11" fillId="2" borderId="9" xfId="0" applyFont="1" applyFill="1" applyBorder="1" applyAlignment="1">
      <alignment horizontal="center" vertical="center"/>
    </xf>
    <xf numFmtId="172" fontId="11" fillId="2" borderId="3" xfId="0" applyFont="1" applyFill="1" applyBorder="1" applyAlignment="1">
      <alignment horizontal="center" vertical="center" wrapText="1"/>
    </xf>
    <xf numFmtId="172" fontId="11" fillId="2" borderId="3" xfId="0" applyFont="1" applyFill="1" applyBorder="1" applyAlignment="1">
      <alignment horizontal="center" vertical="center"/>
    </xf>
    <xf numFmtId="172" fontId="15" fillId="2" borderId="3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vertical="center" wrapText="1"/>
    </xf>
    <xf numFmtId="170" fontId="10" fillId="0" borderId="3" xfId="0" applyNumberFormat="1" applyFont="1" applyBorder="1" applyAlignment="1">
      <alignment horizontal="center" vertical="center"/>
    </xf>
    <xf numFmtId="172" fontId="10" fillId="0" borderId="3" xfId="0" applyNumberFormat="1" applyFont="1" applyBorder="1" applyAlignment="1">
      <alignment horizontal="center" vertical="center"/>
    </xf>
    <xf numFmtId="172" fontId="19" fillId="0" borderId="3" xfId="0" applyFont="1" applyBorder="1" applyAlignment="1">
      <alignment horizontal="center" vertical="center"/>
    </xf>
    <xf numFmtId="164" fontId="19" fillId="0" borderId="3" xfId="0" applyNumberFormat="1" applyFont="1" applyFill="1" applyBorder="1" applyAlignment="1">
      <alignment vertical="center"/>
    </xf>
    <xf numFmtId="172" fontId="19" fillId="0" borderId="1" xfId="0" applyFont="1" applyFill="1" applyBorder="1" applyAlignment="1">
      <alignment vertical="center"/>
    </xf>
    <xf numFmtId="170" fontId="11" fillId="2" borderId="0" xfId="0" applyNumberFormat="1" applyFont="1" applyFill="1" applyBorder="1" applyAlignment="1">
      <alignment horizontal="center" vertical="center"/>
    </xf>
    <xf numFmtId="172" fontId="7" fillId="0" borderId="3" xfId="0" applyFont="1" applyBorder="1" applyAlignment="1">
      <alignment horizontal="center" vertical="center" wrapText="1"/>
    </xf>
    <xf numFmtId="172" fontId="11" fillId="2" borderId="3" xfId="0" applyFont="1" applyFill="1" applyBorder="1" applyAlignment="1">
      <alignment horizontal="center" vertical="center"/>
    </xf>
    <xf numFmtId="172" fontId="11" fillId="2" borderId="3" xfId="0" applyFont="1" applyFill="1" applyBorder="1" applyAlignment="1">
      <alignment horizontal="center" vertical="center" wrapText="1"/>
    </xf>
    <xf numFmtId="172" fontId="20" fillId="2" borderId="3" xfId="0" applyFont="1" applyFill="1" applyBorder="1" applyAlignment="1">
      <alignment horizontal="center" vertical="center"/>
    </xf>
    <xf numFmtId="172" fontId="20" fillId="2" borderId="3" xfId="0" applyFont="1" applyFill="1" applyBorder="1" applyAlignment="1">
      <alignment horizontal="center" vertical="center" wrapText="1"/>
    </xf>
    <xf numFmtId="164" fontId="19" fillId="0" borderId="3" xfId="1" applyNumberFormat="1" applyFont="1" applyFill="1" applyBorder="1" applyAlignment="1" applyProtection="1">
      <alignment horizontal="right" vertical="center"/>
      <protection locked="0"/>
    </xf>
    <xf numFmtId="164" fontId="19" fillId="0" borderId="3" xfId="0" applyNumberFormat="1" applyFont="1" applyFill="1" applyBorder="1" applyAlignment="1">
      <alignment horizontal="right" vertical="center"/>
    </xf>
    <xf numFmtId="164" fontId="20" fillId="2" borderId="3" xfId="0" applyNumberFormat="1" applyFont="1" applyFill="1" applyBorder="1" applyAlignment="1">
      <alignment horizontal="right" vertical="center"/>
    </xf>
    <xf numFmtId="9" fontId="19" fillId="0" borderId="3" xfId="7" applyFont="1" applyBorder="1" applyAlignment="1">
      <alignment horizontal="center" vertical="center"/>
    </xf>
    <xf numFmtId="167" fontId="10" fillId="0" borderId="3" xfId="0" applyNumberFormat="1" applyFont="1" applyFill="1" applyBorder="1" applyAlignment="1">
      <alignment horizontal="center" vertical="center" wrapText="1"/>
    </xf>
    <xf numFmtId="172" fontId="11" fillId="2" borderId="3" xfId="0" applyFont="1" applyFill="1" applyBorder="1" applyAlignment="1">
      <alignment horizontal="left" vertical="center" wrapText="1"/>
    </xf>
    <xf numFmtId="1" fontId="7" fillId="0" borderId="3" xfId="7" applyNumberFormat="1" applyFont="1" applyBorder="1" applyAlignment="1">
      <alignment horizontal="center" vertical="center"/>
    </xf>
    <xf numFmtId="172" fontId="7" fillId="4" borderId="0" xfId="0" applyFont="1" applyFill="1" applyAlignment="1">
      <alignment vertical="center"/>
    </xf>
    <xf numFmtId="172" fontId="7" fillId="4" borderId="0" xfId="0" applyFont="1" applyFill="1" applyAlignment="1">
      <alignment horizontal="center" vertical="center"/>
    </xf>
    <xf numFmtId="172" fontId="11" fillId="2" borderId="5" xfId="0" applyFont="1" applyFill="1" applyBorder="1" applyAlignment="1">
      <alignment horizontal="center" vertical="center" wrapText="1"/>
    </xf>
    <xf numFmtId="172" fontId="7" fillId="0" borderId="3" xfId="0" applyFont="1" applyBorder="1" applyAlignment="1">
      <alignment horizontal="center" vertical="center"/>
    </xf>
    <xf numFmtId="172" fontId="7" fillId="0" borderId="3" xfId="0" applyFont="1" applyBorder="1" applyAlignment="1">
      <alignment horizontal="center" vertical="center" wrapText="1"/>
    </xf>
    <xf numFmtId="172" fontId="11" fillId="2" borderId="3" xfId="0" applyFont="1" applyFill="1" applyBorder="1" applyAlignment="1">
      <alignment horizontal="center" vertical="center" wrapText="1"/>
    </xf>
    <xf numFmtId="172" fontId="19" fillId="0" borderId="3" xfId="0" applyFont="1" applyBorder="1" applyAlignment="1">
      <alignment horizontal="center" vertical="center"/>
    </xf>
    <xf numFmtId="172" fontId="11" fillId="2" borderId="3" xfId="0" applyFont="1" applyFill="1" applyBorder="1" applyAlignment="1">
      <alignment horizontal="center" vertical="center" wrapText="1"/>
    </xf>
    <xf numFmtId="172" fontId="7" fillId="5" borderId="3" xfId="0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 applyProtection="1">
      <alignment horizontal="center" vertical="center"/>
      <protection locked="0"/>
    </xf>
    <xf numFmtId="172" fontId="21" fillId="0" borderId="0" xfId="0" applyFont="1" applyAlignment="1">
      <alignment horizontal="center" vertical="center"/>
    </xf>
    <xf numFmtId="165" fontId="22" fillId="0" borderId="0" xfId="0" applyNumberFormat="1" applyFont="1" applyFill="1" applyBorder="1" applyAlignment="1" applyProtection="1">
      <alignment horizontal="center" vertical="center"/>
      <protection locked="0"/>
    </xf>
    <xf numFmtId="172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vertical="center"/>
    </xf>
    <xf numFmtId="172" fontId="19" fillId="0" borderId="1" xfId="0" applyFont="1" applyFill="1" applyBorder="1" applyAlignment="1">
      <alignment horizontal="left" vertical="center"/>
    </xf>
    <xf numFmtId="172" fontId="3" fillId="0" borderId="0" xfId="0" applyFont="1"/>
    <xf numFmtId="164" fontId="19" fillId="0" borderId="3" xfId="7" applyNumberFormat="1" applyFont="1" applyBorder="1" applyAlignment="1">
      <alignment vertical="center"/>
    </xf>
    <xf numFmtId="1" fontId="19" fillId="0" borderId="3" xfId="0" applyNumberFormat="1" applyFont="1" applyFill="1" applyBorder="1" applyAlignment="1">
      <alignment horizontal="center" vertical="center"/>
    </xf>
    <xf numFmtId="172" fontId="19" fillId="0" borderId="0" xfId="0" applyFont="1" applyFill="1" applyBorder="1" applyAlignment="1">
      <alignment horizontal="center" vertical="center"/>
    </xf>
    <xf numFmtId="172" fontId="19" fillId="0" borderId="0" xfId="0" applyFont="1" applyFill="1" applyBorder="1" applyAlignment="1">
      <alignment horizontal="left" vertical="center"/>
    </xf>
    <xf numFmtId="164" fontId="19" fillId="0" borderId="0" xfId="0" applyNumberFormat="1" applyFont="1" applyFill="1" applyBorder="1" applyAlignment="1">
      <alignment vertical="center"/>
    </xf>
    <xf numFmtId="171" fontId="19" fillId="0" borderId="3" xfId="7" applyNumberFormat="1" applyFont="1" applyBorder="1" applyAlignment="1">
      <alignment horizontal="center" vertical="center"/>
    </xf>
    <xf numFmtId="9" fontId="8" fillId="3" borderId="3" xfId="7" applyFont="1" applyFill="1" applyBorder="1" applyAlignment="1">
      <alignment horizontal="center" vertical="center"/>
    </xf>
    <xf numFmtId="172" fontId="11" fillId="2" borderId="3" xfId="0" applyFont="1" applyFill="1" applyBorder="1" applyAlignment="1">
      <alignment horizontal="center" vertical="center" wrapText="1"/>
    </xf>
    <xf numFmtId="172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72" fontId="0" fillId="0" borderId="0" xfId="0" applyAlignment="1">
      <alignment vertical="center"/>
    </xf>
    <xf numFmtId="172" fontId="19" fillId="0" borderId="0" xfId="0" applyFont="1" applyAlignment="1">
      <alignment vertical="center"/>
    </xf>
    <xf numFmtId="170" fontId="10" fillId="4" borderId="12" xfId="0" applyNumberFormat="1" applyFont="1" applyFill="1" applyBorder="1" applyAlignment="1">
      <alignment horizontal="center" vertical="center"/>
    </xf>
    <xf numFmtId="167" fontId="10" fillId="4" borderId="12" xfId="0" applyNumberFormat="1" applyFont="1" applyFill="1" applyBorder="1" applyAlignment="1">
      <alignment horizontal="center" vertical="center" wrapText="1"/>
    </xf>
    <xf numFmtId="167" fontId="10" fillId="4" borderId="11" xfId="0" quotePrefix="1" applyNumberFormat="1" applyFont="1" applyFill="1" applyBorder="1" applyAlignment="1">
      <alignment horizontal="center" vertical="center" wrapText="1"/>
    </xf>
    <xf numFmtId="170" fontId="10" fillId="4" borderId="11" xfId="0" quotePrefix="1" applyNumberFormat="1" applyFont="1" applyFill="1" applyBorder="1" applyAlignment="1">
      <alignment horizontal="center" vertical="center"/>
    </xf>
    <xf numFmtId="9" fontId="19" fillId="4" borderId="12" xfId="7" quotePrefix="1" applyFont="1" applyFill="1" applyBorder="1" applyAlignment="1">
      <alignment horizontal="center" vertical="center"/>
    </xf>
    <xf numFmtId="9" fontId="19" fillId="4" borderId="2" xfId="7" quotePrefix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 wrapText="1"/>
    </xf>
    <xf numFmtId="164" fontId="10" fillId="6" borderId="9" xfId="0" applyNumberFormat="1" applyFont="1" applyFill="1" applyBorder="1" applyAlignment="1">
      <alignment horizontal="center" vertical="center" wrapText="1"/>
    </xf>
    <xf numFmtId="164" fontId="10" fillId="4" borderId="12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0" fillId="6" borderId="12" xfId="0" applyNumberFormat="1" applyFont="1" applyFill="1" applyBorder="1" applyAlignment="1">
      <alignment horizontal="center" vertical="center" wrapText="1"/>
    </xf>
    <xf numFmtId="164" fontId="10" fillId="6" borderId="10" xfId="0" applyNumberFormat="1" applyFont="1" applyFill="1" applyBorder="1" applyAlignment="1">
      <alignment horizontal="center" vertical="center" wrapText="1"/>
    </xf>
    <xf numFmtId="164" fontId="24" fillId="4" borderId="12" xfId="0" applyNumberFormat="1" applyFont="1" applyFill="1" applyBorder="1" applyAlignment="1">
      <alignment horizontal="center" vertical="center" wrapText="1"/>
    </xf>
    <xf numFmtId="171" fontId="24" fillId="4" borderId="10" xfId="7" applyNumberFormat="1" applyFont="1" applyFill="1" applyBorder="1" applyAlignment="1">
      <alignment horizontal="center" vertical="center" wrapText="1"/>
    </xf>
    <xf numFmtId="164" fontId="24" fillId="4" borderId="2" xfId="0" applyNumberFormat="1" applyFont="1" applyFill="1" applyBorder="1" applyAlignment="1">
      <alignment horizontal="center" vertical="center" wrapText="1"/>
    </xf>
    <xf numFmtId="171" fontId="24" fillId="4" borderId="4" xfId="7" applyNumberFormat="1" applyFont="1" applyFill="1" applyBorder="1" applyAlignment="1">
      <alignment horizontal="center" vertical="center" wrapText="1"/>
    </xf>
    <xf numFmtId="171" fontId="25" fillId="4" borderId="10" xfId="7" applyNumberFormat="1" applyFont="1" applyFill="1" applyBorder="1" applyAlignment="1">
      <alignment horizontal="center" vertical="center" wrapText="1"/>
    </xf>
    <xf numFmtId="171" fontId="25" fillId="4" borderId="4" xfId="7" applyNumberFormat="1" applyFont="1" applyFill="1" applyBorder="1" applyAlignment="1">
      <alignment horizontal="center" vertical="center" wrapText="1"/>
    </xf>
    <xf numFmtId="172" fontId="11" fillId="2" borderId="3" xfId="0" applyFont="1" applyFill="1" applyBorder="1" applyAlignment="1">
      <alignment horizontal="left" vertical="center"/>
    </xf>
    <xf numFmtId="172" fontId="11" fillId="2" borderId="3" xfId="0" applyFont="1" applyFill="1" applyBorder="1" applyAlignment="1">
      <alignment horizontal="center" vertical="center"/>
    </xf>
    <xf numFmtId="164" fontId="10" fillId="0" borderId="0" xfId="0" applyNumberFormat="1" applyFont="1" applyFill="1" applyAlignment="1">
      <alignment vertical="center"/>
    </xf>
    <xf numFmtId="168" fontId="8" fillId="0" borderId="0" xfId="0" applyNumberFormat="1" applyFont="1" applyFill="1" applyBorder="1" applyAlignment="1">
      <alignment horizontal="center" vertical="center"/>
    </xf>
    <xf numFmtId="1" fontId="19" fillId="0" borderId="3" xfId="7" applyNumberFormat="1" applyFont="1" applyBorder="1" applyAlignment="1">
      <alignment horizontal="center" vertical="center"/>
    </xf>
    <xf numFmtId="172" fontId="11" fillId="2" borderId="3" xfId="0" applyFont="1" applyFill="1" applyBorder="1" applyAlignment="1">
      <alignment horizontal="center" vertical="center" wrapText="1"/>
    </xf>
    <xf numFmtId="172" fontId="11" fillId="2" borderId="3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72" fontId="7" fillId="0" borderId="3" xfId="0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166" fontId="11" fillId="2" borderId="3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169" fontId="7" fillId="0" borderId="0" xfId="0" applyNumberFormat="1" applyFont="1" applyAlignment="1">
      <alignment horizontal="left" vertical="center"/>
    </xf>
    <xf numFmtId="168" fontId="7" fillId="0" borderId="3" xfId="0" applyNumberFormat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horizontal="center" vertical="center"/>
    </xf>
    <xf numFmtId="173" fontId="7" fillId="0" borderId="3" xfId="0" applyNumberFormat="1" applyFont="1" applyBorder="1" applyAlignment="1">
      <alignment horizontal="center" vertical="center"/>
    </xf>
    <xf numFmtId="174" fontId="11" fillId="2" borderId="3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170" fontId="10" fillId="0" borderId="0" xfId="0" applyNumberFormat="1" applyFont="1" applyBorder="1" applyAlignment="1">
      <alignment horizontal="center" vertical="center"/>
    </xf>
    <xf numFmtId="172" fontId="10" fillId="0" borderId="0" xfId="0" applyNumberFormat="1" applyFont="1" applyBorder="1" applyAlignment="1">
      <alignment horizontal="center" vertical="center"/>
    </xf>
    <xf numFmtId="173" fontId="10" fillId="0" borderId="3" xfId="0" applyNumberFormat="1" applyFont="1" applyBorder="1" applyAlignment="1">
      <alignment horizontal="center" vertical="center"/>
    </xf>
    <xf numFmtId="172" fontId="10" fillId="0" borderId="3" xfId="0" applyFont="1" applyBorder="1" applyAlignment="1">
      <alignment vertical="center"/>
    </xf>
    <xf numFmtId="171" fontId="10" fillId="0" borderId="3" xfId="7" applyNumberFormat="1" applyFont="1" applyBorder="1" applyAlignment="1">
      <alignment vertical="center"/>
    </xf>
    <xf numFmtId="171" fontId="16" fillId="0" borderId="3" xfId="0" applyNumberFormat="1" applyFont="1" applyBorder="1"/>
    <xf numFmtId="10" fontId="16" fillId="0" borderId="3" xfId="0" applyNumberFormat="1" applyFont="1" applyBorder="1"/>
    <xf numFmtId="173" fontId="7" fillId="0" borderId="3" xfId="0" applyNumberFormat="1" applyFont="1" applyFill="1" applyBorder="1" applyAlignment="1">
      <alignment horizontal="center" vertical="center"/>
    </xf>
    <xf numFmtId="172" fontId="10" fillId="0" borderId="3" xfId="0" applyNumberFormat="1" applyFont="1" applyFill="1" applyBorder="1" applyAlignment="1">
      <alignment horizontal="center" vertical="center"/>
    </xf>
    <xf numFmtId="172" fontId="19" fillId="0" borderId="3" xfId="0" applyFont="1" applyFill="1" applyBorder="1" applyAlignment="1">
      <alignment horizontal="center" vertical="center"/>
    </xf>
    <xf numFmtId="167" fontId="19" fillId="0" borderId="3" xfId="0" applyNumberFormat="1" applyFont="1" applyFill="1" applyBorder="1" applyAlignment="1" applyProtection="1">
      <alignment horizontal="right" vertical="center"/>
      <protection locked="0"/>
    </xf>
    <xf numFmtId="172" fontId="7" fillId="0" borderId="3" xfId="0" applyFont="1" applyFill="1" applyBorder="1" applyAlignment="1">
      <alignment horizontal="center" vertical="center"/>
    </xf>
    <xf numFmtId="172" fontId="13" fillId="0" borderId="3" xfId="0" applyFont="1" applyFill="1" applyBorder="1" applyAlignment="1">
      <alignment horizontal="left" vertical="center" wrapText="1"/>
    </xf>
    <xf numFmtId="172" fontId="14" fillId="0" borderId="3" xfId="0" applyFont="1" applyFill="1" applyBorder="1" applyAlignment="1">
      <alignment horizontal="left" vertical="center" wrapText="1"/>
    </xf>
    <xf numFmtId="172" fontId="7" fillId="0" borderId="1" xfId="0" applyFont="1" applyFill="1" applyBorder="1" applyAlignment="1">
      <alignment horizontal="left" vertical="center"/>
    </xf>
    <xf numFmtId="172" fontId="7" fillId="0" borderId="3" xfId="0" applyFont="1" applyFill="1" applyBorder="1" applyAlignment="1">
      <alignment vertical="center"/>
    </xf>
    <xf numFmtId="172" fontId="7" fillId="0" borderId="1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44" fontId="19" fillId="0" borderId="3" xfId="6" applyFont="1" applyFill="1" applyBorder="1" applyAlignment="1" applyProtection="1">
      <alignment horizontal="right" vertical="center"/>
      <protection locked="0"/>
    </xf>
    <xf numFmtId="44" fontId="19" fillId="0" borderId="3" xfId="6" applyFont="1" applyFill="1" applyBorder="1" applyAlignment="1">
      <alignment horizontal="center" vertical="center"/>
    </xf>
    <xf numFmtId="169" fontId="19" fillId="0" borderId="3" xfId="0" applyNumberFormat="1" applyFont="1" applyFill="1" applyBorder="1" applyAlignment="1" applyProtection="1">
      <alignment horizontal="right" vertical="center"/>
      <protection locked="0"/>
    </xf>
    <xf numFmtId="169" fontId="10" fillId="7" borderId="3" xfId="0" applyNumberFormat="1" applyFont="1" applyFill="1" applyBorder="1" applyAlignment="1" applyProtection="1">
      <alignment horizontal="center" vertical="center"/>
      <protection locked="0"/>
    </xf>
    <xf numFmtId="173" fontId="7" fillId="7" borderId="3" xfId="0" applyNumberFormat="1" applyFont="1" applyFill="1" applyBorder="1" applyAlignment="1">
      <alignment horizontal="center" vertical="center"/>
    </xf>
    <xf numFmtId="172" fontId="7" fillId="0" borderId="0" xfId="0" applyFont="1" applyFill="1" applyBorder="1" applyAlignment="1">
      <alignment vertical="center"/>
    </xf>
    <xf numFmtId="172" fontId="7" fillId="7" borderId="3" xfId="0" applyFont="1" applyFill="1" applyBorder="1" applyAlignment="1">
      <alignment horizontal="left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172" fontId="11" fillId="2" borderId="5" xfId="0" applyFont="1" applyFill="1" applyBorder="1" applyAlignment="1">
      <alignment horizontal="center" vertical="center"/>
    </xf>
    <xf numFmtId="172" fontId="11" fillId="2" borderId="6" xfId="0" applyFont="1" applyFill="1" applyBorder="1" applyAlignment="1">
      <alignment horizontal="center" vertical="center"/>
    </xf>
    <xf numFmtId="172" fontId="11" fillId="2" borderId="1" xfId="0" applyFont="1" applyFill="1" applyBorder="1" applyAlignment="1">
      <alignment horizontal="left" vertical="center"/>
    </xf>
    <xf numFmtId="172" fontId="11" fillId="2" borderId="8" xfId="0" applyFont="1" applyFill="1" applyBorder="1" applyAlignment="1">
      <alignment horizontal="left" vertical="center"/>
    </xf>
    <xf numFmtId="172" fontId="11" fillId="2" borderId="9" xfId="0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72" fontId="7" fillId="0" borderId="1" xfId="0" applyFont="1" applyBorder="1" applyAlignment="1">
      <alignment horizontal="left" vertical="center"/>
    </xf>
    <xf numFmtId="172" fontId="7" fillId="0" borderId="8" xfId="0" applyFont="1" applyBorder="1" applyAlignment="1">
      <alignment horizontal="left" vertical="center"/>
    </xf>
    <xf numFmtId="172" fontId="7" fillId="0" borderId="9" xfId="0" applyFont="1" applyBorder="1" applyAlignment="1">
      <alignment horizontal="left" vertical="center"/>
    </xf>
    <xf numFmtId="172" fontId="11" fillId="2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72" fontId="7" fillId="0" borderId="3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72" fontId="7" fillId="0" borderId="9" xfId="0" applyFont="1" applyFill="1" applyBorder="1" applyAlignment="1">
      <alignment horizontal="center" vertical="center"/>
    </xf>
    <xf numFmtId="172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72" fontId="7" fillId="3" borderId="1" xfId="0" applyFont="1" applyFill="1" applyBorder="1" applyAlignment="1">
      <alignment horizontal="left" vertical="center"/>
    </xf>
    <xf numFmtId="172" fontId="7" fillId="3" borderId="8" xfId="0" applyFont="1" applyFill="1" applyBorder="1" applyAlignment="1">
      <alignment horizontal="left" vertical="center"/>
    </xf>
    <xf numFmtId="172" fontId="11" fillId="2" borderId="10" xfId="0" applyFont="1" applyFill="1" applyBorder="1" applyAlignment="1">
      <alignment horizontal="center" vertical="center"/>
    </xf>
    <xf numFmtId="172" fontId="11" fillId="2" borderId="4" xfId="0" applyFont="1" applyFill="1" applyBorder="1" applyAlignment="1">
      <alignment horizontal="center" vertical="center"/>
    </xf>
    <xf numFmtId="164" fontId="11" fillId="2" borderId="1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72" fontId="11" fillId="2" borderId="1" xfId="0" quotePrefix="1" applyFont="1" applyFill="1" applyBorder="1" applyAlignment="1">
      <alignment horizontal="center" vertical="center" wrapText="1"/>
    </xf>
    <xf numFmtId="172" fontId="11" fillId="2" borderId="9" xfId="0" applyFont="1" applyFill="1" applyBorder="1" applyAlignment="1">
      <alignment horizontal="center" vertical="center" wrapText="1"/>
    </xf>
    <xf numFmtId="172" fontId="11" fillId="2" borderId="1" xfId="0" applyFont="1" applyFill="1" applyBorder="1" applyAlignment="1">
      <alignment horizontal="center" vertical="center"/>
    </xf>
    <xf numFmtId="172" fontId="11" fillId="2" borderId="9" xfId="0" applyFont="1" applyFill="1" applyBorder="1" applyAlignment="1">
      <alignment horizontal="center" vertical="center"/>
    </xf>
    <xf numFmtId="172" fontId="11" fillId="2" borderId="3" xfId="0" quotePrefix="1" applyFont="1" applyFill="1" applyBorder="1" applyAlignment="1">
      <alignment horizontal="center" vertical="center" wrapText="1"/>
    </xf>
    <xf numFmtId="172" fontId="11" fillId="2" borderId="3" xfId="0" applyFont="1" applyFill="1" applyBorder="1" applyAlignment="1">
      <alignment horizontal="center" vertical="center" wrapText="1"/>
    </xf>
    <xf numFmtId="172" fontId="8" fillId="3" borderId="1" xfId="0" applyFont="1" applyFill="1" applyBorder="1" applyAlignment="1">
      <alignment horizontal="left" vertical="center" wrapText="1"/>
    </xf>
    <xf numFmtId="172" fontId="8" fillId="3" borderId="9" xfId="0" applyFont="1" applyFill="1" applyBorder="1" applyAlignment="1">
      <alignment horizontal="left" vertical="center" wrapText="1"/>
    </xf>
    <xf numFmtId="172" fontId="11" fillId="2" borderId="3" xfId="0" applyFont="1" applyFill="1" applyBorder="1" applyAlignment="1">
      <alignment horizontal="left" vertical="center" wrapText="1"/>
    </xf>
    <xf numFmtId="172" fontId="7" fillId="0" borderId="3" xfId="0" applyFont="1" applyBorder="1" applyAlignment="1">
      <alignment horizontal="center" vertical="center"/>
    </xf>
    <xf numFmtId="172" fontId="7" fillId="0" borderId="3" xfId="0" applyFont="1" applyBorder="1" applyAlignment="1">
      <alignment horizontal="center" vertical="center" wrapText="1"/>
    </xf>
    <xf numFmtId="172" fontId="11" fillId="2" borderId="3" xfId="0" applyFont="1" applyFill="1" applyBorder="1" applyAlignment="1">
      <alignment horizontal="left" vertical="center"/>
    </xf>
    <xf numFmtId="172" fontId="17" fillId="2" borderId="1" xfId="0" applyFont="1" applyFill="1" applyBorder="1" applyAlignment="1">
      <alignment horizontal="center" vertical="center" wrapText="1"/>
    </xf>
    <xf numFmtId="172" fontId="17" fillId="2" borderId="9" xfId="0" applyFont="1" applyFill="1" applyBorder="1" applyAlignment="1">
      <alignment horizontal="center" vertical="center" wrapText="1"/>
    </xf>
    <xf numFmtId="172" fontId="17" fillId="2" borderId="5" xfId="0" applyFont="1" applyFill="1" applyBorder="1" applyAlignment="1">
      <alignment horizontal="center" vertical="center" wrapText="1"/>
    </xf>
    <xf numFmtId="172" fontId="17" fillId="2" borderId="6" xfId="0" applyFont="1" applyFill="1" applyBorder="1" applyAlignment="1">
      <alignment horizontal="center" vertical="center" wrapText="1"/>
    </xf>
    <xf numFmtId="172" fontId="17" fillId="2" borderId="12" xfId="0" applyFont="1" applyFill="1" applyBorder="1" applyAlignment="1">
      <alignment horizontal="center" vertical="center" wrapText="1"/>
    </xf>
    <xf numFmtId="172" fontId="17" fillId="2" borderId="2" xfId="0" applyFont="1" applyFill="1" applyBorder="1" applyAlignment="1">
      <alignment horizontal="center" vertical="center" wrapText="1"/>
    </xf>
    <xf numFmtId="172" fontId="16" fillId="6" borderId="5" xfId="0" applyFont="1" applyFill="1" applyBorder="1" applyAlignment="1">
      <alignment horizontal="center" vertical="center" wrapText="1"/>
    </xf>
    <xf numFmtId="172" fontId="16" fillId="6" borderId="6" xfId="0" applyFont="1" applyFill="1" applyBorder="1" applyAlignment="1">
      <alignment horizontal="center" vertical="center" wrapText="1"/>
    </xf>
    <xf numFmtId="172" fontId="10" fillId="6" borderId="5" xfId="0" applyFont="1" applyFill="1" applyBorder="1" applyAlignment="1">
      <alignment horizontal="center" vertical="center" wrapText="1"/>
    </xf>
    <xf numFmtId="172" fontId="10" fillId="6" borderId="6" xfId="0" applyFont="1" applyFill="1" applyBorder="1" applyAlignment="1">
      <alignment horizontal="center" vertical="center" wrapText="1"/>
    </xf>
    <xf numFmtId="172" fontId="7" fillId="3" borderId="5" xfId="0" applyFont="1" applyFill="1" applyBorder="1" applyAlignment="1">
      <alignment horizontal="center" vertical="center"/>
    </xf>
    <xf numFmtId="172" fontId="7" fillId="3" borderId="6" xfId="0" applyFont="1" applyFill="1" applyBorder="1" applyAlignment="1">
      <alignment horizontal="center" vertical="center"/>
    </xf>
    <xf numFmtId="172" fontId="19" fillId="0" borderId="5" xfId="0" applyFont="1" applyFill="1" applyBorder="1" applyAlignment="1">
      <alignment horizontal="center" vertical="center"/>
    </xf>
    <xf numFmtId="172" fontId="19" fillId="0" borderId="6" xfId="0" applyFont="1" applyFill="1" applyBorder="1" applyAlignment="1">
      <alignment horizontal="center" vertical="center"/>
    </xf>
    <xf numFmtId="172" fontId="19" fillId="0" borderId="3" xfId="0" applyFont="1" applyFill="1" applyBorder="1" applyAlignment="1">
      <alignment horizontal="center" vertical="center"/>
    </xf>
    <xf numFmtId="172" fontId="20" fillId="2" borderId="3" xfId="0" applyFont="1" applyFill="1" applyBorder="1" applyAlignment="1">
      <alignment horizontal="left" vertical="center"/>
    </xf>
    <xf numFmtId="172" fontId="20" fillId="2" borderId="3" xfId="0" applyFont="1" applyFill="1" applyBorder="1" applyAlignment="1">
      <alignment horizontal="left" vertical="center" wrapText="1"/>
    </xf>
    <xf numFmtId="164" fontId="7" fillId="0" borderId="5" xfId="0" applyNumberFormat="1" applyFont="1" applyFill="1" applyBorder="1" applyAlignment="1">
      <alignment vertical="center"/>
    </xf>
    <xf numFmtId="164" fontId="7" fillId="0" borderId="6" xfId="0" applyNumberFormat="1" applyFont="1" applyFill="1" applyBorder="1" applyAlignment="1">
      <alignment vertical="center"/>
    </xf>
    <xf numFmtId="164" fontId="7" fillId="0" borderId="7" xfId="0" applyNumberFormat="1" applyFont="1" applyFill="1" applyBorder="1" applyAlignment="1">
      <alignment vertical="center"/>
    </xf>
    <xf numFmtId="172" fontId="19" fillId="0" borderId="7" xfId="0" applyFont="1" applyFill="1" applyBorder="1" applyAlignment="1">
      <alignment horizontal="center" vertical="center"/>
    </xf>
    <xf numFmtId="172" fontId="19" fillId="0" borderId="3" xfId="0" applyFont="1" applyFill="1" applyBorder="1" applyAlignment="1">
      <alignment horizontal="center" vertical="center" wrapText="1"/>
    </xf>
    <xf numFmtId="172" fontId="3" fillId="0" borderId="0" xfId="0" applyFont="1" applyFill="1"/>
    <xf numFmtId="172" fontId="0" fillId="0" borderId="3" xfId="0" applyBorder="1" applyAlignment="1">
      <alignment horizontal="center"/>
    </xf>
    <xf numFmtId="172" fontId="3" fillId="7" borderId="3" xfId="0" applyFont="1" applyFill="1" applyBorder="1" applyAlignment="1">
      <alignment horizontal="center"/>
    </xf>
    <xf numFmtId="172" fontId="28" fillId="0" borderId="0" xfId="0" applyFont="1" applyAlignment="1">
      <alignment horizontal="left" vertical="center"/>
    </xf>
    <xf numFmtId="164" fontId="7" fillId="0" borderId="3" xfId="6" applyNumberFormat="1" applyFont="1" applyBorder="1" applyAlignment="1">
      <alignment horizontal="center" vertical="center"/>
    </xf>
    <xf numFmtId="164" fontId="7" fillId="7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</cellXfs>
  <cellStyles count="18">
    <cellStyle name="Euro" xfId="1" xr:uid="{00000000-0005-0000-0000-000000000000}"/>
    <cellStyle name="Milliers 2" xfId="5" xr:uid="{00000000-0005-0000-0000-000001000000}"/>
    <cellStyle name="Milliers 2 2" xfId="15" xr:uid="{00000000-0005-0000-0000-000002000000}"/>
    <cellStyle name="Monétaire" xfId="6" builtinId="4"/>
    <cellStyle name="Monétaire 2" xfId="16" xr:uid="{00000000-0005-0000-0000-000004000000}"/>
    <cellStyle name="Normal" xfId="0" builtinId="0"/>
    <cellStyle name="Normal 2" xfId="2" xr:uid="{00000000-0005-0000-0000-000006000000}"/>
    <cellStyle name="Normal 2 2" xfId="12" xr:uid="{00000000-0005-0000-0000-000007000000}"/>
    <cellStyle name="Normal 2_Coûts Techniciens &amp; Véhicules" xfId="8" xr:uid="{00000000-0005-0000-0000-000008000000}"/>
    <cellStyle name="Normal 3" xfId="4" xr:uid="{00000000-0005-0000-0000-000009000000}"/>
    <cellStyle name="Normal 3 2" xfId="14" xr:uid="{00000000-0005-0000-0000-00000A000000}"/>
    <cellStyle name="Normal 3_Coûts Techniciens &amp; Véhicules" xfId="9" xr:uid="{00000000-0005-0000-0000-00000B000000}"/>
    <cellStyle name="Normal 4" xfId="3" xr:uid="{00000000-0005-0000-0000-00000C000000}"/>
    <cellStyle name="Normal 4 2" xfId="13" xr:uid="{00000000-0005-0000-0000-00000D000000}"/>
    <cellStyle name="Normal 4_Coûts Techniciens &amp; Véhicules" xfId="10" xr:uid="{00000000-0005-0000-0000-00000E000000}"/>
    <cellStyle name="Normal 5" xfId="11" xr:uid="{00000000-0005-0000-0000-00000F000000}"/>
    <cellStyle name="Pourcentage" xfId="7" builtinId="5"/>
    <cellStyle name="Pourcentage 2" xfId="17" xr:uid="{00000000-0005-0000-0000-000011000000}"/>
  </cellStyles>
  <dxfs count="0"/>
  <tableStyles count="0" defaultTableStyle="TableStyleMedium9" defaultPivotStyle="PivotStyleLight16"/>
  <colors>
    <mruColors>
      <color rgb="FF0099FF"/>
      <color rgb="FF0066FF"/>
      <color rgb="FFEAF1FA"/>
      <color rgb="FFFFFFCC"/>
      <color rgb="FFCCFFFF"/>
      <color rgb="FFFFCCCC"/>
      <color rgb="FF99FF99"/>
      <color rgb="FF00CC00"/>
      <color rgb="FF00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Synthèse!$B$24</c:f>
              <c:strCache>
                <c:ptCount val="1"/>
                <c:pt idx="0">
                  <c:v> Déplacement </c:v>
                </c:pt>
              </c:strCache>
            </c:strRef>
          </c:tx>
          <c:invertIfNegative val="0"/>
          <c:cat>
            <c:strRef>
              <c:f>Synthèse!$C$23:$F$23</c:f>
              <c:strCache>
                <c:ptCount val="4"/>
                <c:pt idx="0">
                  <c:v> Immeuble  </c:v>
                </c:pt>
                <c:pt idx="1">
                  <c:v> Souterrain </c:v>
                </c:pt>
                <c:pt idx="2">
                  <c:v> Façade </c:v>
                </c:pt>
                <c:pt idx="3">
                  <c:v> Aérien </c:v>
                </c:pt>
              </c:strCache>
            </c:strRef>
          </c:cat>
          <c:val>
            <c:numRef>
              <c:f>Synthèse!$C$24:$F$24</c:f>
              <c:numCache>
                <c:formatCode>#\ ##0.00\ "€"</c:formatCode>
                <c:ptCount val="4"/>
                <c:pt idx="0">
                  <c:v>7.8000000000000007</c:v>
                </c:pt>
                <c:pt idx="1">
                  <c:v>7.8000000000000007</c:v>
                </c:pt>
                <c:pt idx="2">
                  <c:v>7.8000000000000007</c:v>
                </c:pt>
                <c:pt idx="3">
                  <c:v>7.8000000000000007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A-4FE1-86E7-030EF595DF86}"/>
            </c:ext>
          </c:extLst>
        </c:ser>
        <c:ser>
          <c:idx val="1"/>
          <c:order val="1"/>
          <c:tx>
            <c:strRef>
              <c:f>Synthèse!$B$25</c:f>
              <c:strCache>
                <c:ptCount val="1"/>
                <c:pt idx="0">
                  <c:v> Nacelle </c:v>
                </c:pt>
              </c:strCache>
            </c:strRef>
          </c:tx>
          <c:invertIfNegative val="0"/>
          <c:cat>
            <c:strRef>
              <c:f>Synthèse!$C$23:$F$23</c:f>
              <c:strCache>
                <c:ptCount val="4"/>
                <c:pt idx="0">
                  <c:v> Immeuble  </c:v>
                </c:pt>
                <c:pt idx="1">
                  <c:v> Souterrain </c:v>
                </c:pt>
                <c:pt idx="2">
                  <c:v> Façade </c:v>
                </c:pt>
                <c:pt idx="3">
                  <c:v> Aérien </c:v>
                </c:pt>
              </c:strCache>
            </c:strRef>
          </c:cat>
          <c:val>
            <c:numRef>
              <c:f>Synthèse!$C$25:$F$25</c:f>
              <c:numCache>
                <c:formatCode>#\ ##0.00\ "€"</c:formatCode>
                <c:ptCount val="4"/>
                <c:pt idx="2">
                  <c:v>52.73</c:v>
                </c:pt>
                <c:pt idx="3">
                  <c:v>58.81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A-4FE1-86E7-030EF595DF86}"/>
            </c:ext>
          </c:extLst>
        </c:ser>
        <c:ser>
          <c:idx val="2"/>
          <c:order val="2"/>
          <c:tx>
            <c:strRef>
              <c:f>Synthèse!$B$26</c:f>
              <c:strCache>
                <c:ptCount val="1"/>
                <c:pt idx="0">
                  <c:v> Main d'œuvre </c:v>
                </c:pt>
              </c:strCache>
            </c:strRef>
          </c:tx>
          <c:invertIfNegative val="0"/>
          <c:cat>
            <c:strRef>
              <c:f>Synthèse!$C$23:$F$23</c:f>
              <c:strCache>
                <c:ptCount val="4"/>
                <c:pt idx="0">
                  <c:v> Immeuble  </c:v>
                </c:pt>
                <c:pt idx="1">
                  <c:v> Souterrain </c:v>
                </c:pt>
                <c:pt idx="2">
                  <c:v> Façade </c:v>
                </c:pt>
                <c:pt idx="3">
                  <c:v> Aérien </c:v>
                </c:pt>
              </c:strCache>
            </c:strRef>
          </c:cat>
          <c:val>
            <c:numRef>
              <c:f>Synthèse!$C$26:$F$26</c:f>
              <c:numCache>
                <c:formatCode>#\ ##0.00\ "€"</c:formatCode>
                <c:ptCount val="4"/>
                <c:pt idx="0">
                  <c:v>85</c:v>
                </c:pt>
                <c:pt idx="1">
                  <c:v>188.33333333333334</c:v>
                </c:pt>
                <c:pt idx="2">
                  <c:v>220.00000000000003</c:v>
                </c:pt>
                <c:pt idx="3">
                  <c:v>245.00000000000003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A-4FE1-86E7-030EF595DF86}"/>
            </c:ext>
          </c:extLst>
        </c:ser>
        <c:ser>
          <c:idx val="3"/>
          <c:order val="3"/>
          <c:tx>
            <c:strRef>
              <c:f>Synthèse!$B$27</c:f>
              <c:strCache>
                <c:ptCount val="1"/>
                <c:pt idx="0">
                  <c:v> Échecs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Synthèse!$C$23:$F$23</c:f>
              <c:strCache>
                <c:ptCount val="4"/>
                <c:pt idx="0">
                  <c:v> Immeuble  </c:v>
                </c:pt>
                <c:pt idx="1">
                  <c:v> Souterrain </c:v>
                </c:pt>
                <c:pt idx="2">
                  <c:v> Façade </c:v>
                </c:pt>
                <c:pt idx="3">
                  <c:v> Aérien </c:v>
                </c:pt>
              </c:strCache>
            </c:strRef>
          </c:cat>
          <c:val>
            <c:numRef>
              <c:f>Synthèse!$C$27:$F$27</c:f>
              <c:numCache>
                <c:formatCode>#\ ##0.00\ "€"</c:formatCode>
                <c:ptCount val="4"/>
                <c:pt idx="0">
                  <c:v>18.467857142857142</c:v>
                </c:pt>
                <c:pt idx="1">
                  <c:v>34.985714285714288</c:v>
                </c:pt>
                <c:pt idx="2">
                  <c:v>34.985714285714288</c:v>
                </c:pt>
                <c:pt idx="3">
                  <c:v>34.985714285714288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BA-4FE1-86E7-030EF595DF86}"/>
            </c:ext>
          </c:extLst>
        </c:ser>
        <c:ser>
          <c:idx val="4"/>
          <c:order val="4"/>
          <c:tx>
            <c:strRef>
              <c:f>Synthèse!$B$28</c:f>
              <c:strCache>
                <c:ptCount val="1"/>
                <c:pt idx="0">
                  <c:v> Matériels </c:v>
                </c:pt>
              </c:strCache>
            </c:strRef>
          </c:tx>
          <c:invertIfNegative val="0"/>
          <c:cat>
            <c:strRef>
              <c:f>Synthèse!$C$23:$F$23</c:f>
              <c:strCache>
                <c:ptCount val="4"/>
                <c:pt idx="0">
                  <c:v> Immeuble  </c:v>
                </c:pt>
                <c:pt idx="1">
                  <c:v> Souterrain </c:v>
                </c:pt>
                <c:pt idx="2">
                  <c:v> Façade </c:v>
                </c:pt>
                <c:pt idx="3">
                  <c:v> Aérien </c:v>
                </c:pt>
              </c:strCache>
            </c:strRef>
          </c:cat>
          <c:val>
            <c:numRef>
              <c:f>Synthèse!$C$28:$F$28</c:f>
              <c:numCache>
                <c:formatCode>#\ ##0.00\ "€"</c:formatCode>
                <c:ptCount val="4"/>
                <c:pt idx="0">
                  <c:v>26.386399999999998</c:v>
                </c:pt>
                <c:pt idx="1">
                  <c:v>62.480150000000002</c:v>
                </c:pt>
                <c:pt idx="2">
                  <c:v>43.43708749999999</c:v>
                </c:pt>
                <c:pt idx="3">
                  <c:v>74.772815000000008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BA-4FE1-86E7-030EF595D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777216"/>
        <c:axId val="103948288"/>
      </c:barChart>
      <c:catAx>
        <c:axId val="10477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948288"/>
        <c:crosses val="autoZero"/>
        <c:auto val="1"/>
        <c:lblAlgn val="ctr"/>
        <c:lblOffset val="100"/>
        <c:noMultiLvlLbl val="0"/>
      </c:catAx>
      <c:valAx>
        <c:axId val="103948288"/>
        <c:scaling>
          <c:orientation val="minMax"/>
        </c:scaling>
        <c:delete val="0"/>
        <c:axPos val="l"/>
        <c:majorGridlines/>
        <c:numFmt formatCode="#,##0\ &quot;€&quot;" sourceLinked="0"/>
        <c:majorTickMark val="out"/>
        <c:minorTickMark val="none"/>
        <c:tickLblPos val="nextTo"/>
        <c:crossAx val="10477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2710341628671"/>
          <c:y val="0.27399641548137299"/>
          <c:w val="0.18173689238004814"/>
          <c:h val="0.4520071690372540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50800" dir="5400000" algn="ctr" rotWithShape="0">
        <a:schemeClr val="bg1"/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 Ml'!$M$3</c:f>
              <c:strCache>
                <c:ptCount val="1"/>
                <c:pt idx="0">
                  <c:v> Immeuble 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'Var Ml'!$L$4:$L$9</c:f>
              <c:numCache>
                <c:formatCode>General\ "ml"</c:formatCode>
                <c:ptCount val="6"/>
                <c:pt idx="0">
                  <c:v>-30</c:v>
                </c:pt>
                <c:pt idx="1">
                  <c:v>-15</c:v>
                </c:pt>
                <c:pt idx="2">
                  <c:v>0</c:v>
                </c:pt>
                <c:pt idx="3">
                  <c:v>15</c:v>
                </c:pt>
                <c:pt idx="4">
                  <c:v>30</c:v>
                </c:pt>
                <c:pt idx="5">
                  <c:v>50</c:v>
                </c:pt>
              </c:numCache>
            </c:numRef>
          </c:cat>
          <c:val>
            <c:numRef>
              <c:f>'Var Ml'!$M$4:$M$9</c:f>
              <c:numCache>
                <c:formatCode>_-* #\ ##0.00\ [$€-40C]_-;\-* #\ ##0.00\ [$€-40C]_-;_-* "-"??\ [$€-40C]_-;_-@_-</c:formatCode>
                <c:ptCount val="6"/>
                <c:pt idx="0">
                  <c:v>137.65425714285715</c:v>
                </c:pt>
                <c:pt idx="1">
                  <c:v>137.65425714285715</c:v>
                </c:pt>
                <c:pt idx="2">
                  <c:v>137.65425714285715</c:v>
                </c:pt>
                <c:pt idx="3">
                  <c:v>137.65425714285715</c:v>
                </c:pt>
                <c:pt idx="4">
                  <c:v>137.65425714285715</c:v>
                </c:pt>
                <c:pt idx="5">
                  <c:v>137.65425714285715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24-4DB9-95E0-92C0746BAC0E}"/>
            </c:ext>
          </c:extLst>
        </c:ser>
        <c:ser>
          <c:idx val="1"/>
          <c:order val="1"/>
          <c:tx>
            <c:strRef>
              <c:f>'Var Ml'!$N$3</c:f>
              <c:strCache>
                <c:ptCount val="1"/>
                <c:pt idx="0">
                  <c:v> Souterrain </c:v>
                </c:pt>
              </c:strCache>
            </c:strRef>
          </c:tx>
          <c:spPr>
            <a:ln w="31750">
              <a:solidFill>
                <a:srgbClr val="FFC000"/>
              </a:solidFill>
              <a:prstDash val="lgDash"/>
            </a:ln>
          </c:spPr>
          <c:marker>
            <c:symbol val="none"/>
          </c:marker>
          <c:cat>
            <c:numRef>
              <c:f>'Var Ml'!$L$4:$L$9</c:f>
              <c:numCache>
                <c:formatCode>General\ "ml"</c:formatCode>
                <c:ptCount val="6"/>
                <c:pt idx="0">
                  <c:v>-30</c:v>
                </c:pt>
                <c:pt idx="1">
                  <c:v>-15</c:v>
                </c:pt>
                <c:pt idx="2">
                  <c:v>0</c:v>
                </c:pt>
                <c:pt idx="3">
                  <c:v>15</c:v>
                </c:pt>
                <c:pt idx="4">
                  <c:v>30</c:v>
                </c:pt>
                <c:pt idx="5">
                  <c:v>50</c:v>
                </c:pt>
              </c:numCache>
            </c:numRef>
          </c:cat>
          <c:val>
            <c:numRef>
              <c:f>'Var Ml'!$N$4:$N$9</c:f>
              <c:numCache>
                <c:formatCode>_-* #\ ##0.00\ [$€-40C]_-;\-* #\ ##0.00\ [$€-40C]_-;_-* "-"??\ [$€-40C]_-;_-@_-</c:formatCode>
                <c:ptCount val="6"/>
                <c:pt idx="0">
                  <c:v>263.29919761904762</c:v>
                </c:pt>
                <c:pt idx="1">
                  <c:v>278.44919761904765</c:v>
                </c:pt>
                <c:pt idx="2">
                  <c:v>293.59919761904763</c:v>
                </c:pt>
                <c:pt idx="3">
                  <c:v>308.74919761904761</c:v>
                </c:pt>
                <c:pt idx="4">
                  <c:v>323.89919761904764</c:v>
                </c:pt>
                <c:pt idx="5">
                  <c:v>344.09919761904763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24-4DB9-95E0-92C0746BAC0E}"/>
            </c:ext>
          </c:extLst>
        </c:ser>
        <c:ser>
          <c:idx val="2"/>
          <c:order val="2"/>
          <c:tx>
            <c:strRef>
              <c:f>'Var Ml'!$O$3</c:f>
              <c:strCache>
                <c:ptCount val="1"/>
                <c:pt idx="0">
                  <c:v> Façade </c:v>
                </c:pt>
              </c:strCache>
            </c:strRef>
          </c:tx>
          <c:spPr>
            <a:ln w="22225">
              <a:solidFill>
                <a:srgbClr val="0000FF"/>
              </a:solidFill>
              <a:prstDash val="dashDot"/>
            </a:ln>
          </c:spPr>
          <c:marker>
            <c:symbol val="none"/>
          </c:marker>
          <c:cat>
            <c:numRef>
              <c:f>'Var Ml'!$L$4:$L$9</c:f>
              <c:numCache>
                <c:formatCode>General\ "ml"</c:formatCode>
                <c:ptCount val="6"/>
                <c:pt idx="0">
                  <c:v>-30</c:v>
                </c:pt>
                <c:pt idx="1">
                  <c:v>-15</c:v>
                </c:pt>
                <c:pt idx="2">
                  <c:v>0</c:v>
                </c:pt>
                <c:pt idx="3">
                  <c:v>15</c:v>
                </c:pt>
                <c:pt idx="4">
                  <c:v>30</c:v>
                </c:pt>
                <c:pt idx="5">
                  <c:v>50</c:v>
                </c:pt>
              </c:numCache>
            </c:numRef>
          </c:cat>
          <c:val>
            <c:numRef>
              <c:f>'Var Ml'!$O$4:$O$9</c:f>
              <c:numCache>
                <c:formatCode>_-* #\ ##0.00\ [$€-40C]_-;\-* #\ ##0.00\ [$€-40C]_-;_-* "-"??\ [$€-40C]_-;_-@_-</c:formatCode>
                <c:ptCount val="6"/>
                <c:pt idx="0">
                  <c:v>311.50994464285714</c:v>
                </c:pt>
                <c:pt idx="1">
                  <c:v>335.23137321428578</c:v>
                </c:pt>
                <c:pt idx="2">
                  <c:v>358.95280178571431</c:v>
                </c:pt>
                <c:pt idx="3">
                  <c:v>382.67423035714285</c:v>
                </c:pt>
                <c:pt idx="4">
                  <c:v>406.39565892857149</c:v>
                </c:pt>
                <c:pt idx="5">
                  <c:v>438.02423035714287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24-4DB9-95E0-92C0746BAC0E}"/>
            </c:ext>
          </c:extLst>
        </c:ser>
        <c:ser>
          <c:idx val="3"/>
          <c:order val="3"/>
          <c:tx>
            <c:strRef>
              <c:f>'Var Ml'!$P$3</c:f>
              <c:strCache>
                <c:ptCount val="1"/>
                <c:pt idx="0">
                  <c:v> Aérien 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'Var Ml'!$L$4:$L$9</c:f>
              <c:numCache>
                <c:formatCode>General\ "ml"</c:formatCode>
                <c:ptCount val="6"/>
                <c:pt idx="0">
                  <c:v>-30</c:v>
                </c:pt>
                <c:pt idx="1">
                  <c:v>-15</c:v>
                </c:pt>
                <c:pt idx="2">
                  <c:v>0</c:v>
                </c:pt>
                <c:pt idx="3">
                  <c:v>15</c:v>
                </c:pt>
                <c:pt idx="4">
                  <c:v>30</c:v>
                </c:pt>
                <c:pt idx="5">
                  <c:v>50</c:v>
                </c:pt>
              </c:numCache>
            </c:numRef>
          </c:cat>
          <c:val>
            <c:numRef>
              <c:f>'Var Ml'!$P$4:$P$9</c:f>
              <c:numCache>
                <c:formatCode>_-* #\ ##0.00\ [$€-40C]_-;\-* #\ ##0.00\ [$€-40C]_-;_-* "-"??\ [$€-40C]_-;_-@_-</c:formatCode>
                <c:ptCount val="6"/>
                <c:pt idx="0">
                  <c:v>378.56852928571431</c:v>
                </c:pt>
                <c:pt idx="1">
                  <c:v>399.96852928571434</c:v>
                </c:pt>
                <c:pt idx="2">
                  <c:v>421.36852928571432</c:v>
                </c:pt>
                <c:pt idx="3">
                  <c:v>442.76852928571429</c:v>
                </c:pt>
                <c:pt idx="4">
                  <c:v>464.16852928571433</c:v>
                </c:pt>
                <c:pt idx="5">
                  <c:v>492.70186261904763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24-4DB9-95E0-92C0746B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77632"/>
        <c:axId val="103950592"/>
      </c:lineChart>
      <c:catAx>
        <c:axId val="105477632"/>
        <c:scaling>
          <c:orientation val="minMax"/>
        </c:scaling>
        <c:delete val="0"/>
        <c:axPos val="b"/>
        <c:numFmt formatCode="General\ &quot;ml&quot;" sourceLinked="1"/>
        <c:majorTickMark val="out"/>
        <c:minorTickMark val="none"/>
        <c:tickLblPos val="nextTo"/>
        <c:crossAx val="103950592"/>
        <c:crosses val="autoZero"/>
        <c:auto val="1"/>
        <c:lblAlgn val="ctr"/>
        <c:lblOffset val="100"/>
        <c:noMultiLvlLbl val="0"/>
      </c:catAx>
      <c:valAx>
        <c:axId val="103950592"/>
        <c:scaling>
          <c:orientation val="minMax"/>
          <c:min val="100"/>
        </c:scaling>
        <c:delete val="0"/>
        <c:axPos val="l"/>
        <c:majorGridlines/>
        <c:numFmt formatCode="#,##0\ &quot;€&quot;" sourceLinked="0"/>
        <c:majorTickMark val="out"/>
        <c:minorTickMark val="none"/>
        <c:tickLblPos val="nextTo"/>
        <c:crossAx val="105477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838806134688271"/>
          <c:y val="0.31692597311396881"/>
          <c:w val="0.25484742601973642"/>
          <c:h val="0.34758357574802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Calibri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 Tx H'!$I$1</c:f>
              <c:strCache>
                <c:ptCount val="1"/>
                <c:pt idx="0">
                  <c:v> Immeuble 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'Var Tx H'!$H$2:$H$5</c:f>
              <c:numCache>
                <c:formatCode>#\ ##0\ "€"</c:formatCode>
                <c:ptCount val="4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</c:numCache>
            </c:numRef>
          </c:cat>
          <c:val>
            <c:numRef>
              <c:f>'Var Tx H'!$I$2:$I$5</c:f>
              <c:numCache>
                <c:formatCode>#\ ##0.00\ "€"</c:formatCode>
                <c:ptCount val="4"/>
                <c:pt idx="0">
                  <c:v>117.3506857142857</c:v>
                </c:pt>
                <c:pt idx="1">
                  <c:v>127.50247142857143</c:v>
                </c:pt>
                <c:pt idx="2">
                  <c:v>137.65425714285715</c:v>
                </c:pt>
                <c:pt idx="3">
                  <c:v>147.80604285714287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8-4826-8792-5AFA3A0B9843}"/>
            </c:ext>
          </c:extLst>
        </c:ser>
        <c:ser>
          <c:idx val="1"/>
          <c:order val="1"/>
          <c:tx>
            <c:strRef>
              <c:f>'Var Tx H'!$J$1</c:f>
              <c:strCache>
                <c:ptCount val="1"/>
                <c:pt idx="0">
                  <c:v> Souterrain </c:v>
                </c:pt>
              </c:strCache>
            </c:strRef>
          </c:tx>
          <c:spPr>
            <a:ln w="31750">
              <a:solidFill>
                <a:srgbClr val="FFC000"/>
              </a:solidFill>
              <a:prstDash val="lgDash"/>
            </a:ln>
          </c:spPr>
          <c:marker>
            <c:symbol val="none"/>
          </c:marker>
          <c:cat>
            <c:numRef>
              <c:f>'Var Tx H'!$H$2:$H$5</c:f>
              <c:numCache>
                <c:formatCode>#\ ##0\ "€"</c:formatCode>
                <c:ptCount val="4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</c:numCache>
            </c:numRef>
          </c:cat>
          <c:val>
            <c:numRef>
              <c:f>'Var Tx H'!$J$2:$J$5</c:f>
              <c:numCache>
                <c:formatCode>#\ ##0.00\ "€"</c:formatCode>
                <c:ptCount val="4"/>
                <c:pt idx="0">
                  <c:v>249.32538809523811</c:v>
                </c:pt>
                <c:pt idx="1">
                  <c:v>271.46229285714287</c:v>
                </c:pt>
                <c:pt idx="2">
                  <c:v>293.59919761904763</c:v>
                </c:pt>
                <c:pt idx="3">
                  <c:v>315.73610238095239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8-4826-8792-5AFA3A0B9843}"/>
            </c:ext>
          </c:extLst>
        </c:ser>
        <c:ser>
          <c:idx val="2"/>
          <c:order val="2"/>
          <c:tx>
            <c:strRef>
              <c:f>'Var Tx H'!$K$1</c:f>
              <c:strCache>
                <c:ptCount val="1"/>
                <c:pt idx="0">
                  <c:v> Façade </c:v>
                </c:pt>
              </c:strCache>
            </c:strRef>
          </c:tx>
          <c:spPr>
            <a:ln w="22225">
              <a:solidFill>
                <a:srgbClr val="0000FF"/>
              </a:solidFill>
              <a:prstDash val="dashDot"/>
            </a:ln>
          </c:spPr>
          <c:marker>
            <c:symbol val="none"/>
          </c:marker>
          <c:cat>
            <c:numRef>
              <c:f>'Var Tx H'!$H$2:$H$5</c:f>
              <c:numCache>
                <c:formatCode>#\ ##0\ "€"</c:formatCode>
                <c:ptCount val="4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</c:numCache>
            </c:numRef>
          </c:cat>
          <c:val>
            <c:numRef>
              <c:f>'Var Tx H'!$K$2:$K$5</c:f>
              <c:numCache>
                <c:formatCode>#\ ##0.00\ "€"</c:formatCode>
                <c:ptCount val="4"/>
                <c:pt idx="0">
                  <c:v>308.34565892857142</c:v>
                </c:pt>
                <c:pt idx="1">
                  <c:v>333.64923035714287</c:v>
                </c:pt>
                <c:pt idx="2">
                  <c:v>358.95280178571431</c:v>
                </c:pt>
                <c:pt idx="3">
                  <c:v>384.25637321428576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8-4826-8792-5AFA3A0B9843}"/>
            </c:ext>
          </c:extLst>
        </c:ser>
        <c:ser>
          <c:idx val="3"/>
          <c:order val="3"/>
          <c:tx>
            <c:strRef>
              <c:f>'Var Tx H'!$L$1</c:f>
              <c:strCache>
                <c:ptCount val="1"/>
                <c:pt idx="0">
                  <c:v> Aérien 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'Var Tx H'!$H$2:$H$5</c:f>
              <c:numCache>
                <c:formatCode>#\ ##0\ "€"</c:formatCode>
                <c:ptCount val="4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</c:numCache>
            </c:numRef>
          </c:cat>
          <c:val>
            <c:numRef>
              <c:f>'Var Tx H'!$L$2:$L$5</c:f>
              <c:numCache>
                <c:formatCode>#\ ##0.00\ "€"</c:formatCode>
                <c:ptCount val="4"/>
                <c:pt idx="0">
                  <c:v>365.76138642857143</c:v>
                </c:pt>
                <c:pt idx="1">
                  <c:v>393.56495785714287</c:v>
                </c:pt>
                <c:pt idx="2">
                  <c:v>421.36852928571432</c:v>
                </c:pt>
                <c:pt idx="3">
                  <c:v>449.17210071428576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38-4826-8792-5AFA3A0B9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79680"/>
        <c:axId val="103952896"/>
      </c:lineChart>
      <c:catAx>
        <c:axId val="105479680"/>
        <c:scaling>
          <c:orientation val="minMax"/>
        </c:scaling>
        <c:delete val="0"/>
        <c:axPos val="b"/>
        <c:numFmt formatCode="#\ ##0\ &quot;€&quot;" sourceLinked="1"/>
        <c:majorTickMark val="out"/>
        <c:minorTickMark val="none"/>
        <c:tickLblPos val="nextTo"/>
        <c:crossAx val="103952896"/>
        <c:crosses val="autoZero"/>
        <c:auto val="1"/>
        <c:lblAlgn val="ctr"/>
        <c:lblOffset val="100"/>
        <c:noMultiLvlLbl val="0"/>
      </c:catAx>
      <c:valAx>
        <c:axId val="103952896"/>
        <c:scaling>
          <c:orientation val="minMax"/>
          <c:min val="100"/>
        </c:scaling>
        <c:delete val="0"/>
        <c:axPos val="l"/>
        <c:majorGridlines/>
        <c:numFmt formatCode="#,##0\ &quot;€&quot;" sourceLinked="0"/>
        <c:majorTickMark val="out"/>
        <c:minorTickMark val="none"/>
        <c:tickLblPos val="nextTo"/>
        <c:crossAx val="105479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685372017003837"/>
          <c:y val="0.28971161012280872"/>
          <c:w val="0.24982239795927241"/>
          <c:h val="0.34758357574802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Calibri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 Échecs'!$C$9</c:f>
              <c:strCache>
                <c:ptCount val="1"/>
                <c:pt idx="0">
                  <c:v> Immeuble  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'Var Échecs'!$B$15:$B$19</c:f>
              <c:numCache>
                <c:formatCode>0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cat>
          <c:val>
            <c:numRef>
              <c:f>'Var Échecs'!$C$15:$C$19</c:f>
              <c:numCache>
                <c:formatCode>#\ ##0.00\ "€"</c:formatCode>
                <c:ptCount val="5"/>
                <c:pt idx="0">
                  <c:v>119.18639999999999</c:v>
                </c:pt>
                <c:pt idx="1">
                  <c:v>127.3943365079365</c:v>
                </c:pt>
                <c:pt idx="2">
                  <c:v>137.65425714285715</c:v>
                </c:pt>
                <c:pt idx="3">
                  <c:v>150.84558367346938</c:v>
                </c:pt>
                <c:pt idx="4">
                  <c:v>168.43401904761902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B-4189-A027-B1339DA2B79E}"/>
            </c:ext>
          </c:extLst>
        </c:ser>
        <c:ser>
          <c:idx val="1"/>
          <c:order val="1"/>
          <c:tx>
            <c:strRef>
              <c:f>'Var Échecs'!$D$9</c:f>
              <c:strCache>
                <c:ptCount val="1"/>
                <c:pt idx="0">
                  <c:v> Souterrain </c:v>
                </c:pt>
              </c:strCache>
            </c:strRef>
          </c:tx>
          <c:spPr>
            <a:ln w="31750">
              <a:solidFill>
                <a:srgbClr val="FFC000"/>
              </a:solidFill>
              <a:prstDash val="lgDash"/>
            </a:ln>
          </c:spPr>
          <c:marker>
            <c:symbol val="none"/>
          </c:marker>
          <c:cat>
            <c:numRef>
              <c:f>'Var Échecs'!$B$15:$B$19</c:f>
              <c:numCache>
                <c:formatCode>0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cat>
          <c:val>
            <c:numRef>
              <c:f>'Var Échecs'!$D$15:$D$19</c:f>
              <c:numCache>
                <c:formatCode>#\ ##0.00\ "€"</c:formatCode>
                <c:ptCount val="5"/>
                <c:pt idx="0">
                  <c:v>258.61348333333336</c:v>
                </c:pt>
                <c:pt idx="1">
                  <c:v>274.16268968253974</c:v>
                </c:pt>
                <c:pt idx="2">
                  <c:v>293.59919761904763</c:v>
                </c:pt>
                <c:pt idx="3">
                  <c:v>318.58899353741498</c:v>
                </c:pt>
                <c:pt idx="4">
                  <c:v>351.90872142857143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B-4189-A027-B1339DA2B79E}"/>
            </c:ext>
          </c:extLst>
        </c:ser>
        <c:ser>
          <c:idx val="2"/>
          <c:order val="2"/>
          <c:tx>
            <c:strRef>
              <c:f>'Var Échecs'!$E$9</c:f>
              <c:strCache>
                <c:ptCount val="1"/>
                <c:pt idx="0">
                  <c:v> Façade </c:v>
                </c:pt>
              </c:strCache>
            </c:strRef>
          </c:tx>
          <c:spPr>
            <a:ln w="22225">
              <a:solidFill>
                <a:srgbClr val="0000FF"/>
              </a:solidFill>
              <a:prstDash val="dashDot"/>
            </a:ln>
          </c:spPr>
          <c:marker>
            <c:symbol val="none"/>
          </c:marker>
          <c:cat>
            <c:numRef>
              <c:f>'Var Échecs'!$B$15:$B$19</c:f>
              <c:numCache>
                <c:formatCode>0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cat>
          <c:val>
            <c:numRef>
              <c:f>'Var Échecs'!$E$15:$E$19</c:f>
              <c:numCache>
                <c:formatCode>#\ ##0.00\ "€"</c:formatCode>
                <c:ptCount val="5"/>
                <c:pt idx="0">
                  <c:v>323.96708750000005</c:v>
                </c:pt>
                <c:pt idx="1">
                  <c:v>339.51629384920642</c:v>
                </c:pt>
                <c:pt idx="2">
                  <c:v>358.95280178571431</c:v>
                </c:pt>
                <c:pt idx="3">
                  <c:v>383.94259770408166</c:v>
                </c:pt>
                <c:pt idx="4">
                  <c:v>417.26232559523817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B-4189-A027-B1339DA2B79E}"/>
            </c:ext>
          </c:extLst>
        </c:ser>
        <c:ser>
          <c:idx val="3"/>
          <c:order val="3"/>
          <c:tx>
            <c:strRef>
              <c:f>'Var Échecs'!$F$9</c:f>
              <c:strCache>
                <c:ptCount val="1"/>
                <c:pt idx="0">
                  <c:v> Aérien 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'Var Échecs'!$B$15:$B$19</c:f>
              <c:numCache>
                <c:formatCode>0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cat>
          <c:val>
            <c:numRef>
              <c:f>'Var Échecs'!$F$15:$F$19</c:f>
              <c:numCache>
                <c:formatCode>#\ ##0.00\ "€"</c:formatCode>
                <c:ptCount val="5"/>
                <c:pt idx="0">
                  <c:v>386.38281500000005</c:v>
                </c:pt>
                <c:pt idx="1">
                  <c:v>401.93202134920642</c:v>
                </c:pt>
                <c:pt idx="2">
                  <c:v>421.36852928571432</c:v>
                </c:pt>
                <c:pt idx="3">
                  <c:v>446.35832520408167</c:v>
                </c:pt>
                <c:pt idx="4">
                  <c:v>479.67805309523817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B-4189-A027-B1339DA2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79168"/>
        <c:axId val="103955200"/>
      </c:lineChart>
      <c:catAx>
        <c:axId val="105479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3955200"/>
        <c:crosses val="autoZero"/>
        <c:auto val="1"/>
        <c:lblAlgn val="ctr"/>
        <c:lblOffset val="100"/>
        <c:noMultiLvlLbl val="0"/>
      </c:catAx>
      <c:valAx>
        <c:axId val="103955200"/>
        <c:scaling>
          <c:orientation val="minMax"/>
          <c:min val="100"/>
        </c:scaling>
        <c:delete val="0"/>
        <c:axPos val="l"/>
        <c:majorGridlines/>
        <c:numFmt formatCode="#,##0\ &quot;€&quot;" sourceLinked="0"/>
        <c:majorTickMark val="out"/>
        <c:minorTickMark val="none"/>
        <c:tickLblPos val="nextTo"/>
        <c:crossAx val="105479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810290323590305"/>
          <c:y val="0.31791513348966977"/>
          <c:w val="0.19985083636266079"/>
          <c:h val="0.34758357574802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Calibri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27</xdr:row>
      <xdr:rowOff>103188</xdr:rowOff>
    </xdr:from>
    <xdr:to>
      <xdr:col>11</xdr:col>
      <xdr:colOff>122577</xdr:colOff>
      <xdr:row>38</xdr:row>
      <xdr:rowOff>194968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6119813"/>
          <a:ext cx="9980953" cy="2361905"/>
        </a:xfrm>
        <a:prstGeom prst="rect">
          <a:avLst/>
        </a:prstGeom>
      </xdr:spPr>
    </xdr:pic>
    <xdr:clientData/>
  </xdr:twoCellAnchor>
  <xdr:twoCellAnchor editAs="oneCell">
    <xdr:from>
      <xdr:col>11</xdr:col>
      <xdr:colOff>301625</xdr:colOff>
      <xdr:row>26</xdr:row>
      <xdr:rowOff>13393</xdr:rowOff>
    </xdr:from>
    <xdr:to>
      <xdr:col>22</xdr:col>
      <xdr:colOff>193854</xdr:colOff>
      <xdr:row>40</xdr:row>
      <xdr:rowOff>166688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07625" y="5871268"/>
          <a:ext cx="9036229" cy="3074295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</xdr:colOff>
      <xdr:row>41</xdr:row>
      <xdr:rowOff>87311</xdr:rowOff>
    </xdr:from>
    <xdr:to>
      <xdr:col>11</xdr:col>
      <xdr:colOff>177404</xdr:colOff>
      <xdr:row>54</xdr:row>
      <xdr:rowOff>77336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" y="9112249"/>
          <a:ext cx="10004029" cy="3188837"/>
        </a:xfrm>
        <a:prstGeom prst="rect">
          <a:avLst/>
        </a:prstGeom>
      </xdr:spPr>
    </xdr:pic>
    <xdr:clientData/>
  </xdr:twoCellAnchor>
  <xdr:twoCellAnchor editAs="oneCell">
    <xdr:from>
      <xdr:col>11</xdr:col>
      <xdr:colOff>220784</xdr:colOff>
      <xdr:row>41</xdr:row>
      <xdr:rowOff>150812</xdr:rowOff>
    </xdr:from>
    <xdr:to>
      <xdr:col>22</xdr:col>
      <xdr:colOff>603250</xdr:colOff>
      <xdr:row>54</xdr:row>
      <xdr:rowOff>79375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26784" y="9175750"/>
          <a:ext cx="9526466" cy="3127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1523632</xdr:colOff>
      <xdr:row>30</xdr:row>
      <xdr:rowOff>2946</xdr:rowOff>
    </xdr:from>
    <xdr:to>
      <xdr:col>8</xdr:col>
      <xdr:colOff>49695</xdr:colOff>
      <xdr:row>45</xdr:row>
      <xdr:rowOff>58532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221063</xdr:colOff>
      <xdr:row>17</xdr:row>
      <xdr:rowOff>45722</xdr:rowOff>
    </xdr:from>
    <xdr:to>
      <xdr:col>17</xdr:col>
      <xdr:colOff>480392</xdr:colOff>
      <xdr:row>31</xdr:row>
      <xdr:rowOff>157369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541564</xdr:colOff>
      <xdr:row>0</xdr:row>
      <xdr:rowOff>171448</xdr:rowOff>
    </xdr:from>
    <xdr:to>
      <xdr:col>22</xdr:col>
      <xdr:colOff>95249</xdr:colOff>
      <xdr:row>18</xdr:row>
      <xdr:rowOff>114299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</xdr:row>
      <xdr:rowOff>5715</xdr:rowOff>
    </xdr:from>
    <xdr:to>
      <xdr:col>14</xdr:col>
      <xdr:colOff>266700</xdr:colOff>
      <xdr:row>19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127635</xdr:colOff>
      <xdr:row>6</xdr:row>
      <xdr:rowOff>133350</xdr:rowOff>
    </xdr:from>
    <xdr:to>
      <xdr:col>10</xdr:col>
      <xdr:colOff>133350</xdr:colOff>
      <xdr:row>18</xdr:row>
      <xdr:rowOff>20955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H="1">
          <a:off x="8509635" y="1266825"/>
          <a:ext cx="5715" cy="243078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9"/>
  <sheetViews>
    <sheetView tabSelected="1" workbookViewId="0">
      <selection activeCell="C17" sqref="C17"/>
    </sheetView>
  </sheetViews>
  <sheetFormatPr baseColWidth="10" defaultRowHeight="13.2" x14ac:dyDescent="0.25"/>
  <cols>
    <col min="2" max="2" width="20" customWidth="1"/>
    <col min="3" max="3" width="83.88671875" customWidth="1"/>
  </cols>
  <sheetData>
    <row r="5" spans="2:3" x14ac:dyDescent="0.25">
      <c r="B5" s="256" t="s">
        <v>198</v>
      </c>
      <c r="C5" s="257" t="s">
        <v>199</v>
      </c>
    </row>
    <row r="6" spans="2:3" x14ac:dyDescent="0.25">
      <c r="C6" s="255"/>
    </row>
    <row r="8" spans="2:3" x14ac:dyDescent="0.25">
      <c r="C8" s="118"/>
    </row>
    <row r="9" spans="2:3" x14ac:dyDescent="0.25">
      <c r="C9" s="1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6"/>
  <sheetViews>
    <sheetView zoomScale="85" zoomScaleNormal="85" workbookViewId="0">
      <selection activeCell="I18" sqref="I18"/>
    </sheetView>
  </sheetViews>
  <sheetFormatPr baseColWidth="10" defaultColWidth="11.44140625" defaultRowHeight="13.8" x14ac:dyDescent="0.25"/>
  <cols>
    <col min="1" max="1" width="35.6640625" style="4" customWidth="1"/>
    <col min="2" max="7" width="10" style="15" customWidth="1"/>
    <col min="8" max="8" width="4.33203125" style="4" customWidth="1"/>
    <col min="9" max="9" width="32.88671875" style="4" customWidth="1"/>
    <col min="10" max="10" width="11.44140625" style="4"/>
    <col min="11" max="11" width="4.33203125" style="4" customWidth="1"/>
    <col min="12" max="12" width="11.44140625" style="4"/>
    <col min="13" max="16" width="14.33203125" style="4" customWidth="1"/>
    <col min="17" max="16384" width="11.44140625" style="4"/>
  </cols>
  <sheetData>
    <row r="1" spans="1:16" ht="41.4" x14ac:dyDescent="0.25">
      <c r="A1" s="196" t="s">
        <v>170</v>
      </c>
      <c r="B1" s="77" t="s">
        <v>65</v>
      </c>
      <c r="C1" s="77" t="s">
        <v>64</v>
      </c>
      <c r="D1" s="77" t="s">
        <v>59</v>
      </c>
      <c r="E1" s="77" t="s">
        <v>58</v>
      </c>
      <c r="F1" s="29" t="s">
        <v>53</v>
      </c>
      <c r="G1" s="81" t="s">
        <v>86</v>
      </c>
      <c r="L1" s="108" t="s">
        <v>193</v>
      </c>
      <c r="M1" s="108" t="s">
        <v>103</v>
      </c>
      <c r="N1" s="108" t="s">
        <v>104</v>
      </c>
      <c r="O1" s="108" t="s">
        <v>105</v>
      </c>
      <c r="P1" s="108" t="s">
        <v>177</v>
      </c>
    </row>
    <row r="2" spans="1:16" ht="17.25" customHeight="1" x14ac:dyDescent="0.25">
      <c r="A2" s="197"/>
      <c r="B2" s="75">
        <v>30</v>
      </c>
      <c r="C2" s="75">
        <v>100</v>
      </c>
      <c r="D2" s="75">
        <v>70</v>
      </c>
      <c r="E2" s="75">
        <v>100</v>
      </c>
      <c r="F2" s="75">
        <v>30</v>
      </c>
      <c r="G2" s="90">
        <v>150</v>
      </c>
      <c r="I2" s="23" t="s">
        <v>27</v>
      </c>
      <c r="J2" s="27" t="s">
        <v>52</v>
      </c>
      <c r="L2" s="111" t="s">
        <v>65</v>
      </c>
      <c r="M2" s="106" t="s">
        <v>106</v>
      </c>
      <c r="N2" s="106" t="s">
        <v>110</v>
      </c>
      <c r="O2" s="106" t="s">
        <v>122</v>
      </c>
      <c r="P2" s="165">
        <v>1</v>
      </c>
    </row>
    <row r="3" spans="1:16" ht="42" customHeight="1" x14ac:dyDescent="0.25">
      <c r="A3" s="180" t="s">
        <v>48</v>
      </c>
      <c r="B3" s="40">
        <v>5</v>
      </c>
      <c r="C3" s="40">
        <v>7</v>
      </c>
      <c r="D3" s="40">
        <v>7</v>
      </c>
      <c r="E3" s="40">
        <v>7</v>
      </c>
      <c r="F3" s="40">
        <v>0</v>
      </c>
      <c r="G3" s="40">
        <v>10</v>
      </c>
      <c r="I3" s="180" t="s">
        <v>48</v>
      </c>
      <c r="J3" s="40">
        <v>7</v>
      </c>
      <c r="L3" s="111" t="s">
        <v>64</v>
      </c>
      <c r="M3" s="106" t="s">
        <v>107</v>
      </c>
      <c r="N3" s="106" t="s">
        <v>111</v>
      </c>
      <c r="O3" s="106" t="s">
        <v>113</v>
      </c>
      <c r="P3" s="107" t="s">
        <v>116</v>
      </c>
    </row>
    <row r="4" spans="1:16" x14ac:dyDescent="0.25">
      <c r="A4" s="180" t="s">
        <v>84</v>
      </c>
      <c r="B4" s="40">
        <v>34</v>
      </c>
      <c r="C4" s="40">
        <v>34</v>
      </c>
      <c r="D4" s="40">
        <v>34</v>
      </c>
      <c r="E4" s="40">
        <v>34</v>
      </c>
      <c r="F4" s="40">
        <v>0</v>
      </c>
      <c r="G4" s="40">
        <v>34</v>
      </c>
      <c r="I4" s="17" t="s">
        <v>91</v>
      </c>
      <c r="J4" s="40">
        <v>15</v>
      </c>
      <c r="L4" s="111" t="s">
        <v>59</v>
      </c>
      <c r="M4" s="106" t="s">
        <v>108</v>
      </c>
      <c r="N4" s="106" t="s">
        <v>112</v>
      </c>
      <c r="O4" s="106" t="s">
        <v>114</v>
      </c>
      <c r="P4" s="165">
        <v>2</v>
      </c>
    </row>
    <row r="5" spans="1:16" x14ac:dyDescent="0.25">
      <c r="A5" s="17" t="s">
        <v>171</v>
      </c>
      <c r="B5" s="40">
        <v>4</v>
      </c>
      <c r="C5" s="40">
        <v>6</v>
      </c>
      <c r="D5" s="40">
        <v>8</v>
      </c>
      <c r="E5" s="40">
        <v>12</v>
      </c>
      <c r="F5" s="40">
        <v>0</v>
      </c>
      <c r="G5" s="40">
        <v>6</v>
      </c>
      <c r="I5" s="17" t="s">
        <v>176</v>
      </c>
      <c r="J5" s="40">
        <v>8</v>
      </c>
      <c r="L5" s="111" t="s">
        <v>58</v>
      </c>
      <c r="M5" s="106" t="s">
        <v>109</v>
      </c>
      <c r="N5" s="106" t="s">
        <v>111</v>
      </c>
      <c r="O5" s="106" t="s">
        <v>115</v>
      </c>
      <c r="P5" s="165">
        <v>2</v>
      </c>
    </row>
    <row r="6" spans="1:16" ht="13.95" customHeight="1" x14ac:dyDescent="0.25">
      <c r="A6" s="181" t="s">
        <v>49</v>
      </c>
      <c r="B6" s="40">
        <v>18</v>
      </c>
      <c r="C6" s="40">
        <v>30</v>
      </c>
      <c r="D6" s="40">
        <v>45</v>
      </c>
      <c r="E6" s="40">
        <v>55</v>
      </c>
      <c r="F6" s="40">
        <v>30</v>
      </c>
      <c r="G6" s="40">
        <v>60</v>
      </c>
      <c r="I6" s="17" t="s">
        <v>28</v>
      </c>
      <c r="J6" s="40">
        <v>3</v>
      </c>
      <c r="M6" s="15"/>
      <c r="N6" s="15"/>
      <c r="O6" s="15"/>
      <c r="P6" s="15"/>
    </row>
    <row r="7" spans="1:16" ht="42.75" customHeight="1" x14ac:dyDescent="0.25">
      <c r="A7" s="17" t="s">
        <v>31</v>
      </c>
      <c r="B7" s="40">
        <v>4</v>
      </c>
      <c r="C7" s="40">
        <v>6</v>
      </c>
      <c r="D7" s="40">
        <v>6</v>
      </c>
      <c r="E7" s="40">
        <v>6</v>
      </c>
      <c r="F7" s="40">
        <v>0</v>
      </c>
      <c r="G7" s="40">
        <v>6</v>
      </c>
      <c r="I7" s="42" t="s">
        <v>38</v>
      </c>
      <c r="J7" s="41">
        <f>SUM(J3:J6)</f>
        <v>33</v>
      </c>
      <c r="L7" s="108" t="s">
        <v>102</v>
      </c>
      <c r="M7" s="108" t="s">
        <v>103</v>
      </c>
      <c r="N7" s="108" t="s">
        <v>178</v>
      </c>
      <c r="O7" s="108" t="s">
        <v>105</v>
      </c>
      <c r="P7" s="108" t="s">
        <v>177</v>
      </c>
    </row>
    <row r="8" spans="1:16" ht="13.95" customHeight="1" x14ac:dyDescent="0.25">
      <c r="A8" s="17" t="s">
        <v>30</v>
      </c>
      <c r="B8" s="40">
        <v>6</v>
      </c>
      <c r="C8" s="40">
        <v>8</v>
      </c>
      <c r="D8" s="40">
        <v>10</v>
      </c>
      <c r="E8" s="40">
        <v>10</v>
      </c>
      <c r="F8" s="40">
        <v>0</v>
      </c>
      <c r="G8" s="40">
        <v>8</v>
      </c>
      <c r="L8" s="111" t="s">
        <v>65</v>
      </c>
      <c r="M8" s="106" t="s">
        <v>117</v>
      </c>
      <c r="N8" s="106" t="s">
        <v>110</v>
      </c>
      <c r="O8" s="106" t="s">
        <v>120</v>
      </c>
      <c r="P8" s="165">
        <v>1</v>
      </c>
    </row>
    <row r="9" spans="1:16" ht="41.25" customHeight="1" x14ac:dyDescent="0.25">
      <c r="A9" s="17" t="s">
        <v>175</v>
      </c>
      <c r="B9" s="40">
        <v>13</v>
      </c>
      <c r="C9" s="40">
        <v>10</v>
      </c>
      <c r="D9" s="40">
        <v>10</v>
      </c>
      <c r="E9" s="40">
        <v>10</v>
      </c>
      <c r="F9" s="40">
        <v>0</v>
      </c>
      <c r="G9" s="40">
        <v>40</v>
      </c>
      <c r="L9" s="111" t="s">
        <v>64</v>
      </c>
      <c r="M9" s="106" t="s">
        <v>118</v>
      </c>
      <c r="N9" s="106" t="s">
        <v>119</v>
      </c>
      <c r="O9" s="106" t="s">
        <v>121</v>
      </c>
      <c r="P9" s="107" t="s">
        <v>116</v>
      </c>
    </row>
    <row r="10" spans="1:16" ht="13.95" customHeight="1" x14ac:dyDescent="0.25">
      <c r="A10" s="17" t="s">
        <v>172</v>
      </c>
      <c r="B10" s="40">
        <v>6</v>
      </c>
      <c r="C10" s="40">
        <v>6</v>
      </c>
      <c r="D10" s="40">
        <v>6</v>
      </c>
      <c r="E10" s="40">
        <v>6</v>
      </c>
      <c r="F10" s="40">
        <v>0</v>
      </c>
      <c r="G10" s="40">
        <v>8</v>
      </c>
      <c r="L10" s="111" t="s">
        <v>59</v>
      </c>
      <c r="M10" s="106" t="s">
        <v>118</v>
      </c>
      <c r="N10" s="106" t="s">
        <v>119</v>
      </c>
      <c r="O10" s="106" t="s">
        <v>121</v>
      </c>
      <c r="P10" s="165">
        <v>2</v>
      </c>
    </row>
    <row r="11" spans="1:16" ht="13.95" customHeight="1" x14ac:dyDescent="0.25">
      <c r="A11" s="192" t="s">
        <v>83</v>
      </c>
      <c r="B11" s="189">
        <v>5</v>
      </c>
      <c r="C11" s="189">
        <v>5</v>
      </c>
      <c r="D11" s="189">
        <v>5</v>
      </c>
      <c r="E11" s="189">
        <v>5</v>
      </c>
      <c r="F11" s="189">
        <v>0</v>
      </c>
      <c r="G11" s="189">
        <v>5</v>
      </c>
      <c r="L11" s="111" t="s">
        <v>58</v>
      </c>
      <c r="M11" s="106" t="s">
        <v>118</v>
      </c>
      <c r="N11" s="106" t="s">
        <v>119</v>
      </c>
      <c r="O11" s="106" t="s">
        <v>121</v>
      </c>
      <c r="P11" s="165">
        <v>2</v>
      </c>
    </row>
    <row r="12" spans="1:16" ht="13.95" customHeight="1" x14ac:dyDescent="0.25">
      <c r="A12" s="192" t="s">
        <v>50</v>
      </c>
      <c r="B12" s="189">
        <v>15</v>
      </c>
      <c r="C12" s="189">
        <v>15</v>
      </c>
      <c r="D12" s="189">
        <v>15</v>
      </c>
      <c r="E12" s="189">
        <v>15</v>
      </c>
      <c r="F12" s="189">
        <v>0</v>
      </c>
      <c r="G12" s="189">
        <v>15</v>
      </c>
    </row>
    <row r="13" spans="1:16" ht="13.95" customHeight="1" x14ac:dyDescent="0.25">
      <c r="A13" s="17" t="s">
        <v>174</v>
      </c>
      <c r="B13" s="40">
        <v>5</v>
      </c>
      <c r="C13" s="40">
        <v>5</v>
      </c>
      <c r="D13" s="40">
        <v>5</v>
      </c>
      <c r="E13" s="40">
        <v>5</v>
      </c>
      <c r="F13" s="40">
        <v>0</v>
      </c>
      <c r="G13" s="40">
        <v>5</v>
      </c>
    </row>
    <row r="14" spans="1:16" ht="13.95" customHeight="1" x14ac:dyDescent="0.25">
      <c r="A14" s="17" t="s">
        <v>29</v>
      </c>
      <c r="B14" s="40">
        <v>4</v>
      </c>
      <c r="C14" s="40">
        <v>8</v>
      </c>
      <c r="D14" s="40">
        <v>8</v>
      </c>
      <c r="E14" s="40">
        <v>12</v>
      </c>
      <c r="F14" s="40">
        <v>0</v>
      </c>
      <c r="G14" s="40">
        <v>8</v>
      </c>
      <c r="I14" s="162"/>
    </row>
    <row r="15" spans="1:16" x14ac:dyDescent="0.25">
      <c r="A15" s="17" t="s">
        <v>28</v>
      </c>
      <c r="B15" s="40">
        <v>3</v>
      </c>
      <c r="C15" s="40">
        <v>3</v>
      </c>
      <c r="D15" s="40">
        <v>3</v>
      </c>
      <c r="E15" s="40">
        <v>3</v>
      </c>
      <c r="F15" s="40">
        <v>0</v>
      </c>
      <c r="G15" s="40">
        <v>5</v>
      </c>
      <c r="I15" s="162"/>
    </row>
    <row r="16" spans="1:16" x14ac:dyDescent="0.25">
      <c r="A16" s="23" t="s">
        <v>124</v>
      </c>
      <c r="B16" s="41">
        <f t="shared" ref="B16:G16" si="0">SUM(B3:B15)</f>
        <v>122</v>
      </c>
      <c r="C16" s="41">
        <f t="shared" si="0"/>
        <v>143</v>
      </c>
      <c r="D16" s="41">
        <f t="shared" si="0"/>
        <v>162</v>
      </c>
      <c r="E16" s="41">
        <f t="shared" si="0"/>
        <v>180</v>
      </c>
      <c r="F16" s="41">
        <f t="shared" si="0"/>
        <v>30</v>
      </c>
      <c r="G16" s="41">
        <f t="shared" si="0"/>
        <v>210</v>
      </c>
    </row>
    <row r="17" spans="1:7" x14ac:dyDescent="0.25">
      <c r="C17" s="38"/>
    </row>
    <row r="18" spans="1:7" ht="14.4" x14ac:dyDescent="0.25">
      <c r="A18" s="258" t="s">
        <v>173</v>
      </c>
      <c r="B18" s="113"/>
      <c r="C18" s="114"/>
      <c r="D18" s="113"/>
    </row>
    <row r="19" spans="1:7" ht="21.6" customHeight="1" x14ac:dyDescent="0.25">
      <c r="A19" s="101" t="s">
        <v>94</v>
      </c>
      <c r="B19" s="92" t="s">
        <v>65</v>
      </c>
      <c r="C19" s="92" t="s">
        <v>64</v>
      </c>
      <c r="D19" s="92" t="s">
        <v>59</v>
      </c>
      <c r="E19" s="92" t="s">
        <v>58</v>
      </c>
      <c r="F19" s="158"/>
      <c r="G19" s="93" t="s">
        <v>86</v>
      </c>
    </row>
    <row r="20" spans="1:7" x14ac:dyDescent="0.25">
      <c r="A20" s="17" t="s">
        <v>195</v>
      </c>
      <c r="B20" s="175">
        <f>SUM(B3:B15)</f>
        <v>122</v>
      </c>
      <c r="C20" s="175">
        <f>SUM(C3:C15)-SUM(C11:C12)</f>
        <v>123</v>
      </c>
      <c r="D20" s="175">
        <f>SUM(D3:D15)-SUM(D11:D12)</f>
        <v>142</v>
      </c>
      <c r="E20" s="175">
        <f>SUM(E3:E15)-SUM(E11:E12,E15)</f>
        <v>157</v>
      </c>
      <c r="F20" s="175"/>
      <c r="G20" s="175">
        <v>189</v>
      </c>
    </row>
    <row r="21" spans="1:7" x14ac:dyDescent="0.25">
      <c r="A21" s="17" t="s">
        <v>196</v>
      </c>
      <c r="B21" s="175">
        <f>SUM(B3:B15)-SUM(B11:B12)</f>
        <v>102</v>
      </c>
      <c r="C21" s="175">
        <f>(C20*2)-SUM(C11:C12)</f>
        <v>226</v>
      </c>
      <c r="D21" s="175">
        <f>D20*2-SUM(D11:D12)</f>
        <v>264</v>
      </c>
      <c r="E21" s="175">
        <f>E20*2-SUM(E11:E12)</f>
        <v>294</v>
      </c>
      <c r="F21" s="175"/>
      <c r="G21" s="175">
        <f t="shared" ref="G21" si="1">G20*2</f>
        <v>378</v>
      </c>
    </row>
    <row r="22" spans="1:7" x14ac:dyDescent="0.25">
      <c r="A22" s="17" t="s">
        <v>101</v>
      </c>
      <c r="B22" s="163">
        <f>420/B20</f>
        <v>3.442622950819672</v>
      </c>
      <c r="C22" s="163">
        <f>420/C20</f>
        <v>3.4146341463414633</v>
      </c>
      <c r="D22" s="163">
        <f>420/D20</f>
        <v>2.9577464788732395</v>
      </c>
      <c r="E22" s="163">
        <f>420/E20</f>
        <v>2.6751592356687897</v>
      </c>
      <c r="F22" s="163"/>
      <c r="G22" s="163">
        <f>420/G20</f>
        <v>2.2222222222222223</v>
      </c>
    </row>
    <row r="23" spans="1:7" x14ac:dyDescent="0.25">
      <c r="A23" s="17" t="s">
        <v>150</v>
      </c>
      <c r="B23" s="163">
        <f>(420/B20)*0.8</f>
        <v>2.7540983606557377</v>
      </c>
      <c r="C23" s="163">
        <f t="shared" ref="C23:G23" si="2">(420/C20)*0.8</f>
        <v>2.7317073170731709</v>
      </c>
      <c r="D23" s="163">
        <f t="shared" si="2"/>
        <v>2.3661971830985915</v>
      </c>
      <c r="E23" s="163">
        <f t="shared" si="2"/>
        <v>2.1401273885350318</v>
      </c>
      <c r="F23" s="163"/>
      <c r="G23" s="163">
        <f t="shared" si="2"/>
        <v>1.7777777777777779</v>
      </c>
    </row>
    <row r="24" spans="1:7" x14ac:dyDescent="0.25">
      <c r="C24" s="38"/>
    </row>
    <row r="25" spans="1:7" x14ac:dyDescent="0.25">
      <c r="C25" s="38"/>
    </row>
    <row r="26" spans="1:7" x14ac:dyDescent="0.25">
      <c r="C26" s="161"/>
      <c r="D26" s="161"/>
      <c r="E26" s="161"/>
      <c r="F26" s="161"/>
      <c r="G26" s="161"/>
    </row>
    <row r="27" spans="1:7" x14ac:dyDescent="0.25">
      <c r="C27" s="38"/>
    </row>
    <row r="28" spans="1:7" x14ac:dyDescent="0.25">
      <c r="C28" s="38"/>
    </row>
    <row r="29" spans="1:7" x14ac:dyDescent="0.25">
      <c r="C29" s="38"/>
    </row>
    <row r="30" spans="1:7" x14ac:dyDescent="0.25">
      <c r="C30" s="38"/>
    </row>
    <row r="31" spans="1:7" x14ac:dyDescent="0.25">
      <c r="C31" s="38"/>
    </row>
    <row r="32" spans="1:7" x14ac:dyDescent="0.25">
      <c r="C32" s="38"/>
    </row>
    <row r="33" spans="3:3" ht="20.100000000000001" customHeight="1" x14ac:dyDescent="0.25">
      <c r="C33" s="38"/>
    </row>
    <row r="34" spans="3:3" ht="20.100000000000001" customHeight="1" x14ac:dyDescent="0.25">
      <c r="C34" s="38"/>
    </row>
    <row r="35" spans="3:3" ht="20.100000000000001" customHeight="1" x14ac:dyDescent="0.25">
      <c r="C35" s="39"/>
    </row>
    <row r="36" spans="3:3" ht="20.100000000000001" customHeight="1" x14ac:dyDescent="0.25"/>
    <row r="37" spans="3:3" ht="20.100000000000001" customHeight="1" x14ac:dyDescent="0.25"/>
    <row r="38" spans="3:3" ht="20.100000000000001" customHeight="1" x14ac:dyDescent="0.25"/>
    <row r="39" spans="3:3" ht="20.100000000000001" customHeight="1" x14ac:dyDescent="0.25"/>
    <row r="40" spans="3:3" ht="20.100000000000001" customHeight="1" x14ac:dyDescent="0.25"/>
    <row r="41" spans="3:3" ht="20.100000000000001" customHeight="1" x14ac:dyDescent="0.25"/>
    <row r="42" spans="3:3" ht="20.100000000000001" customHeight="1" x14ac:dyDescent="0.25"/>
    <row r="43" spans="3:3" ht="20.100000000000001" customHeight="1" x14ac:dyDescent="0.25"/>
    <row r="44" spans="3:3" ht="20.100000000000001" customHeight="1" x14ac:dyDescent="0.25"/>
    <row r="45" spans="3:3" ht="20.100000000000001" customHeight="1" x14ac:dyDescent="0.25"/>
    <row r="46" spans="3:3" ht="20.100000000000001" customHeight="1" x14ac:dyDescent="0.25"/>
    <row r="47" spans="3:3" ht="20.100000000000001" customHeight="1" x14ac:dyDescent="0.25"/>
    <row r="48" spans="3:3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</sheetData>
  <mergeCells count="1">
    <mergeCell ref="A1:A2"/>
  </mergeCells>
  <pageMargins left="0.7" right="0.7" top="0.75" bottom="0.75" header="0.3" footer="0.3"/>
  <pageSetup paperSize="9" scale="64" fitToHeight="0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workbookViewId="0">
      <selection activeCell="J31" sqref="J31"/>
    </sheetView>
  </sheetViews>
  <sheetFormatPr baseColWidth="10" defaultColWidth="11.5546875" defaultRowHeight="12" x14ac:dyDescent="0.25"/>
  <cols>
    <col min="1" max="1" width="31.44140625" style="6" customWidth="1"/>
    <col min="2" max="2" width="11.44140625" style="11" customWidth="1"/>
    <col min="3" max="3" width="10" style="11" customWidth="1"/>
    <col min="4" max="4" width="11.44140625" style="12" customWidth="1"/>
    <col min="5" max="5" width="10" style="11" customWidth="1"/>
    <col min="6" max="6" width="6.5546875" style="12" customWidth="1"/>
    <col min="7" max="7" width="9.33203125" style="12" customWidth="1"/>
    <col min="8" max="8" width="4" style="12" customWidth="1"/>
    <col min="9" max="9" width="7.88671875" style="12" customWidth="1"/>
    <col min="10" max="11" width="7.109375" style="12" customWidth="1"/>
    <col min="12" max="16384" width="11.5546875" style="12"/>
  </cols>
  <sheetData>
    <row r="1" spans="1:8" s="10" customFormat="1" x14ac:dyDescent="0.25">
      <c r="A1" s="7"/>
      <c r="B1" s="8"/>
      <c r="C1" s="8"/>
      <c r="D1" s="8"/>
      <c r="E1" s="9"/>
    </row>
    <row r="2" spans="1:8" ht="41.4" x14ac:dyDescent="0.25">
      <c r="A2" s="156" t="s">
        <v>37</v>
      </c>
      <c r="B2" s="155" t="s">
        <v>33</v>
      </c>
      <c r="C2" s="155" t="s">
        <v>159</v>
      </c>
      <c r="D2" s="155" t="s">
        <v>34</v>
      </c>
      <c r="F2" s="10"/>
    </row>
    <row r="3" spans="1:8" ht="13.8" x14ac:dyDescent="0.25">
      <c r="A3" s="1" t="s">
        <v>39</v>
      </c>
      <c r="B3" s="259">
        <v>2500</v>
      </c>
      <c r="C3" s="165">
        <v>12</v>
      </c>
      <c r="D3" s="20">
        <f>SUM(B3*C3)</f>
        <v>30000</v>
      </c>
      <c r="E3" s="5"/>
    </row>
    <row r="4" spans="1:8" ht="13.8" x14ac:dyDescent="0.25">
      <c r="A4" s="1" t="s">
        <v>13</v>
      </c>
      <c r="B4" s="259">
        <v>145</v>
      </c>
      <c r="C4" s="165">
        <v>11</v>
      </c>
      <c r="D4" s="20">
        <f>SUM(B4*C4)</f>
        <v>1595</v>
      </c>
      <c r="E4" s="5"/>
      <c r="F4" s="6"/>
    </row>
    <row r="5" spans="1:8" ht="13.8" x14ac:dyDescent="0.25">
      <c r="A5" s="1" t="s">
        <v>40</v>
      </c>
      <c r="B5" s="259">
        <f>SUM(B3+B4)*0.5</f>
        <v>1322.5</v>
      </c>
      <c r="C5" s="165">
        <v>12</v>
      </c>
      <c r="D5" s="20">
        <f>SUM(B5*C5)</f>
        <v>15870</v>
      </c>
      <c r="E5" s="5"/>
    </row>
    <row r="6" spans="1:8" ht="13.8" x14ac:dyDescent="0.25">
      <c r="A6" s="1" t="s">
        <v>3</v>
      </c>
      <c r="B6" s="259">
        <v>126</v>
      </c>
      <c r="C6" s="165">
        <v>11</v>
      </c>
      <c r="D6" s="20">
        <f>SUM(B6*C6)</f>
        <v>1386</v>
      </c>
      <c r="E6" s="5"/>
    </row>
    <row r="7" spans="1:8" ht="13.8" x14ac:dyDescent="0.25">
      <c r="A7" s="1" t="s">
        <v>5</v>
      </c>
      <c r="B7" s="259">
        <v>75</v>
      </c>
      <c r="C7" s="165">
        <v>11</v>
      </c>
      <c r="D7" s="20">
        <f t="shared" ref="D7:D11" si="0">SUM(B7*C7)</f>
        <v>825</v>
      </c>
      <c r="E7" s="5"/>
    </row>
    <row r="8" spans="1:8" ht="13.8" x14ac:dyDescent="0.25">
      <c r="A8" s="1" t="s">
        <v>160</v>
      </c>
      <c r="B8" s="259">
        <f>SUM(B3:B7)*0.2</f>
        <v>833.7</v>
      </c>
      <c r="C8" s="165">
        <v>11</v>
      </c>
      <c r="D8" s="20">
        <f t="shared" si="0"/>
        <v>9170.7000000000007</v>
      </c>
      <c r="E8" s="5"/>
    </row>
    <row r="9" spans="1:8" ht="13.8" x14ac:dyDescent="0.25">
      <c r="A9" s="1" t="s">
        <v>6</v>
      </c>
      <c r="B9" s="259">
        <v>120</v>
      </c>
      <c r="C9" s="165">
        <v>11</v>
      </c>
      <c r="D9" s="20">
        <f t="shared" si="0"/>
        <v>1320</v>
      </c>
      <c r="E9" s="5"/>
      <c r="H9" s="5"/>
    </row>
    <row r="10" spans="1:8" ht="13.8" x14ac:dyDescent="0.25">
      <c r="A10" s="1" t="s">
        <v>7</v>
      </c>
      <c r="B10" s="259">
        <v>140</v>
      </c>
      <c r="C10" s="165">
        <v>12</v>
      </c>
      <c r="D10" s="20">
        <f t="shared" si="0"/>
        <v>1680</v>
      </c>
      <c r="E10" s="5"/>
    </row>
    <row r="11" spans="1:8" ht="13.8" x14ac:dyDescent="0.25">
      <c r="A11" s="1" t="s">
        <v>14</v>
      </c>
      <c r="B11" s="259">
        <v>50</v>
      </c>
      <c r="C11" s="165">
        <v>12</v>
      </c>
      <c r="D11" s="20">
        <f t="shared" si="0"/>
        <v>600</v>
      </c>
      <c r="E11" s="5"/>
    </row>
    <row r="12" spans="1:8" ht="13.8" x14ac:dyDescent="0.25">
      <c r="A12" s="1" t="s">
        <v>15</v>
      </c>
      <c r="B12" s="259">
        <f>SUM(B3:B5)*2%</f>
        <v>79.350000000000009</v>
      </c>
      <c r="C12" s="165">
        <v>12</v>
      </c>
      <c r="D12" s="20">
        <f>SUM(B12*C12)</f>
        <v>952.2</v>
      </c>
      <c r="E12" s="5"/>
    </row>
    <row r="13" spans="1:8" ht="13.8" x14ac:dyDescent="0.25">
      <c r="A13" s="198" t="s">
        <v>38</v>
      </c>
      <c r="B13" s="199"/>
      <c r="C13" s="200"/>
      <c r="D13" s="193">
        <f>SUM(D3:D12)</f>
        <v>63398.899999999994</v>
      </c>
      <c r="E13" s="5"/>
    </row>
    <row r="14" spans="1:8" ht="7.5" customHeight="1" x14ac:dyDescent="0.25">
      <c r="A14" s="31"/>
      <c r="B14" s="32"/>
      <c r="C14" s="18"/>
      <c r="D14" s="33"/>
      <c r="E14" s="5"/>
    </row>
    <row r="15" spans="1:8" ht="13.2" customHeight="1" x14ac:dyDescent="0.25">
      <c r="A15" s="23" t="s">
        <v>35</v>
      </c>
      <c r="B15" s="166">
        <v>151.66999999999999</v>
      </c>
      <c r="C15" s="166">
        <v>10.5</v>
      </c>
      <c r="D15" s="159">
        <f>+B15*C15</f>
        <v>1592.5349999999999</v>
      </c>
      <c r="E15" s="5"/>
    </row>
    <row r="16" spans="1:8" ht="7.5" customHeight="1" x14ac:dyDescent="0.25">
      <c r="A16" s="4"/>
      <c r="B16" s="18"/>
      <c r="C16" s="15"/>
      <c r="D16" s="15"/>
      <c r="E16" s="5"/>
    </row>
    <row r="17" spans="1:7" ht="13.8" x14ac:dyDescent="0.25">
      <c r="A17" s="198" t="s">
        <v>161</v>
      </c>
      <c r="B17" s="199"/>
      <c r="C17" s="200"/>
      <c r="D17" s="160">
        <f>SUM(D3:D12)/D15</f>
        <v>39.810051270458736</v>
      </c>
      <c r="E17" s="5"/>
    </row>
    <row r="18" spans="1:7" ht="7.5" customHeight="1" x14ac:dyDescent="0.25">
      <c r="A18" s="34"/>
      <c r="B18" s="33"/>
      <c r="C18" s="18"/>
      <c r="D18" s="33"/>
      <c r="E18" s="5"/>
    </row>
    <row r="19" spans="1:7" ht="13.8" x14ac:dyDescent="0.25">
      <c r="A19" s="198" t="s">
        <v>162</v>
      </c>
      <c r="B19" s="199"/>
      <c r="C19" s="200"/>
      <c r="D19" s="160">
        <f>+ROUNDUP(D17/0.8,0)</f>
        <v>50</v>
      </c>
      <c r="E19" s="5"/>
    </row>
    <row r="20" spans="1:7" ht="15" customHeight="1" x14ac:dyDescent="0.25">
      <c r="A20" s="34"/>
      <c r="B20" s="33"/>
      <c r="C20" s="18"/>
      <c r="D20" s="33"/>
      <c r="E20" s="5"/>
    </row>
    <row r="21" spans="1:7" ht="25.95" customHeight="1" x14ac:dyDescent="0.25">
      <c r="A21" s="156" t="s">
        <v>37</v>
      </c>
      <c r="B21" s="155" t="s">
        <v>33</v>
      </c>
      <c r="C21" s="155" t="s">
        <v>36</v>
      </c>
      <c r="D21" s="155" t="s">
        <v>34</v>
      </c>
      <c r="E21" s="155" t="s">
        <v>41</v>
      </c>
    </row>
    <row r="22" spans="1:7" ht="13.8" x14ac:dyDescent="0.25">
      <c r="A22" s="204" t="s">
        <v>90</v>
      </c>
      <c r="B22" s="205"/>
      <c r="C22" s="205"/>
      <c r="D22" s="206"/>
      <c r="E22" s="195">
        <v>35000</v>
      </c>
    </row>
    <row r="23" spans="1:7" ht="12.6" customHeight="1" x14ac:dyDescent="0.25">
      <c r="A23" s="16" t="s">
        <v>165</v>
      </c>
      <c r="B23" s="20">
        <v>400</v>
      </c>
      <c r="C23" s="165">
        <v>12</v>
      </c>
      <c r="D23" s="35">
        <f>SUM(B23*C23)</f>
        <v>4800</v>
      </c>
      <c r="E23" s="20">
        <f>D23/$E$22</f>
        <v>0.13714285714285715</v>
      </c>
    </row>
    <row r="24" spans="1:7" ht="13.8" x14ac:dyDescent="0.25">
      <c r="A24" s="16" t="s">
        <v>4</v>
      </c>
      <c r="B24" s="20">
        <v>55</v>
      </c>
      <c r="C24" s="165">
        <v>12</v>
      </c>
      <c r="D24" s="35">
        <f>SUM(B24*C24)</f>
        <v>660</v>
      </c>
      <c r="E24" s="20">
        <f t="shared" ref="E24:E26" si="1">D24/$E$22</f>
        <v>1.8857142857142857E-2</v>
      </c>
    </row>
    <row r="25" spans="1:7" ht="31.5" customHeight="1" x14ac:dyDescent="0.25">
      <c r="A25" s="36" t="s">
        <v>166</v>
      </c>
      <c r="B25" s="20">
        <v>480</v>
      </c>
      <c r="C25" s="165">
        <v>11</v>
      </c>
      <c r="D25" s="35">
        <f>SUM(B25*C25)</f>
        <v>5280</v>
      </c>
      <c r="E25" s="20">
        <f t="shared" si="1"/>
        <v>0.15085714285714286</v>
      </c>
    </row>
    <row r="26" spans="1:7" ht="13.2" customHeight="1" x14ac:dyDescent="0.25">
      <c r="A26" s="198" t="s">
        <v>163</v>
      </c>
      <c r="B26" s="199"/>
      <c r="C26" s="200"/>
      <c r="D26" s="30">
        <f>SUM(D23:D25)</f>
        <v>10740</v>
      </c>
      <c r="E26" s="157">
        <f t="shared" si="1"/>
        <v>0.30685714285714288</v>
      </c>
      <c r="G26" s="13"/>
    </row>
    <row r="27" spans="1:7" ht="3" customHeight="1" x14ac:dyDescent="0.25">
      <c r="A27" s="4"/>
      <c r="B27" s="3"/>
      <c r="C27" s="15"/>
      <c r="D27" s="21"/>
      <c r="E27" s="15"/>
    </row>
    <row r="28" spans="1:7" ht="13.2" customHeight="1" x14ac:dyDescent="0.25">
      <c r="A28" s="198" t="s">
        <v>164</v>
      </c>
      <c r="B28" s="199"/>
      <c r="C28" s="199"/>
      <c r="D28" s="200"/>
      <c r="E28" s="37">
        <f>+ROUNDUP(E26/0.8,2)</f>
        <v>0.39</v>
      </c>
    </row>
    <row r="29" spans="1:7" ht="15" customHeight="1" x14ac:dyDescent="0.25">
      <c r="B29" s="5"/>
      <c r="D29" s="13"/>
    </row>
    <row r="30" spans="1:7" ht="13.8" x14ac:dyDescent="0.25">
      <c r="A30" s="156" t="s">
        <v>37</v>
      </c>
      <c r="B30" s="156" t="s">
        <v>43</v>
      </c>
      <c r="C30" s="156" t="s">
        <v>45</v>
      </c>
      <c r="D30" s="156" t="s">
        <v>55</v>
      </c>
      <c r="E30" s="156" t="s">
        <v>56</v>
      </c>
    </row>
    <row r="31" spans="1:7" ht="13.8" x14ac:dyDescent="0.25">
      <c r="A31" s="182" t="s">
        <v>168</v>
      </c>
      <c r="B31" s="183"/>
      <c r="C31" s="24">
        <f>E28</f>
        <v>0.39</v>
      </c>
      <c r="D31" s="201">
        <f>+C31*B32</f>
        <v>7.8000000000000007</v>
      </c>
      <c r="E31" s="201">
        <f>+D31</f>
        <v>7.8000000000000007</v>
      </c>
    </row>
    <row r="32" spans="1:7" ht="13.8" x14ac:dyDescent="0.25">
      <c r="A32" s="184" t="s">
        <v>46</v>
      </c>
      <c r="B32" s="25">
        <v>20</v>
      </c>
      <c r="C32" s="185"/>
      <c r="D32" s="202"/>
      <c r="E32" s="202"/>
    </row>
    <row r="33" spans="1:11" ht="13.8" x14ac:dyDescent="0.25">
      <c r="A33" s="184" t="s">
        <v>44</v>
      </c>
      <c r="B33" s="183"/>
      <c r="C33" s="24">
        <f>D19/60</f>
        <v>0.83333333333333337</v>
      </c>
      <c r="D33" s="201">
        <f>+C33*B35</f>
        <v>28.571428571428573</v>
      </c>
      <c r="E33" s="201">
        <f>+D33*2</f>
        <v>57.142857142857146</v>
      </c>
    </row>
    <row r="34" spans="1:11" ht="13.8" x14ac:dyDescent="0.25">
      <c r="A34" s="184" t="s">
        <v>42</v>
      </c>
      <c r="B34" s="175">
        <v>35</v>
      </c>
      <c r="C34" s="184"/>
      <c r="D34" s="203"/>
      <c r="E34" s="203"/>
    </row>
    <row r="35" spans="1:11" ht="13.8" x14ac:dyDescent="0.25">
      <c r="A35" s="184" t="s">
        <v>47</v>
      </c>
      <c r="B35" s="25">
        <f>+B32*60/B34</f>
        <v>34.285714285714285</v>
      </c>
      <c r="C35" s="184"/>
      <c r="D35" s="202"/>
      <c r="E35" s="202"/>
    </row>
    <row r="36" spans="1:11" ht="13.8" x14ac:dyDescent="0.25">
      <c r="A36" s="22" t="s">
        <v>38</v>
      </c>
      <c r="B36" s="22"/>
      <c r="C36" s="22"/>
      <c r="D36" s="193">
        <f>SUM(D31:D35)</f>
        <v>36.371428571428574</v>
      </c>
      <c r="E36" s="193">
        <f>SUM(E31:E35)</f>
        <v>64.94285714285715</v>
      </c>
    </row>
    <row r="38" spans="1:11" x14ac:dyDescent="0.25">
      <c r="J38" s="152"/>
      <c r="K38" s="152"/>
    </row>
    <row r="39" spans="1:11" x14ac:dyDescent="0.25">
      <c r="A39" s="167" t="s">
        <v>169</v>
      </c>
    </row>
  </sheetData>
  <mergeCells count="10">
    <mergeCell ref="A22:D22"/>
    <mergeCell ref="A13:C13"/>
    <mergeCell ref="A17:C17"/>
    <mergeCell ref="A19:C19"/>
    <mergeCell ref="A26:C26"/>
    <mergeCell ref="A28:D28"/>
    <mergeCell ref="D31:D32"/>
    <mergeCell ref="E31:E32"/>
    <mergeCell ref="D33:D35"/>
    <mergeCell ref="E33:E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31"/>
  <sheetViews>
    <sheetView showGridLines="0" topLeftCell="A16" zoomScale="115" zoomScaleNormal="115" workbookViewId="0">
      <selection activeCell="L36" sqref="L36"/>
    </sheetView>
  </sheetViews>
  <sheetFormatPr baseColWidth="10" defaultColWidth="25.6640625" defaultRowHeight="13.8" x14ac:dyDescent="0.25"/>
  <cols>
    <col min="1" max="1" width="25.6640625" style="4" customWidth="1"/>
    <col min="2" max="2" width="5.88671875" style="45" customWidth="1"/>
    <col min="3" max="3" width="4" style="15" bestFit="1" customWidth="1"/>
    <col min="4" max="4" width="7.109375" style="46" customWidth="1"/>
    <col min="5" max="5" width="4" style="15" bestFit="1" customWidth="1"/>
    <col min="6" max="6" width="7.77734375" style="4" customWidth="1"/>
    <col min="7" max="7" width="4" style="15" customWidth="1"/>
    <col min="8" max="8" width="8" style="4" customWidth="1"/>
    <col min="9" max="9" width="4" style="15" bestFit="1" customWidth="1"/>
    <col min="10" max="10" width="7.77734375" style="4" customWidth="1"/>
    <col min="11" max="11" width="3.5546875" style="4" customWidth="1"/>
    <col min="12" max="12" width="25" style="4" customWidth="1"/>
    <col min="13" max="13" width="5.6640625" style="45" customWidth="1"/>
    <col min="14" max="14" width="4" style="15" customWidth="1"/>
    <col min="15" max="15" width="7.109375" style="21" customWidth="1"/>
    <col min="16" max="16" width="4" style="3" customWidth="1"/>
    <col min="17" max="17" width="7.109375" style="46" customWidth="1"/>
    <col min="18" max="18" width="4" style="15" customWidth="1"/>
    <col min="19" max="19" width="7.109375" style="4" customWidth="1"/>
    <col min="20" max="20" width="3.88671875" style="15" customWidth="1"/>
    <col min="21" max="21" width="7.109375" style="4" customWidth="1"/>
    <col min="22" max="22" width="4" style="15" customWidth="1"/>
    <col min="23" max="23" width="7.109375" style="4" customWidth="1"/>
    <col min="24" max="24" width="3.5546875" style="4" customWidth="1"/>
    <col min="25" max="25" width="25" style="4" customWidth="1"/>
    <col min="26" max="26" width="5.6640625" style="4" customWidth="1"/>
    <col min="27" max="27" width="4.109375" style="4" customWidth="1"/>
    <col min="28" max="28" width="8.5546875" style="4" customWidth="1"/>
    <col min="29" max="16384" width="25.6640625" style="4"/>
  </cols>
  <sheetData>
    <row r="1" spans="1:28" ht="28.95" customHeight="1" x14ac:dyDescent="0.25">
      <c r="A1" s="207" t="s">
        <v>9</v>
      </c>
      <c r="B1" s="220" t="s">
        <v>66</v>
      </c>
      <c r="C1" s="207" t="s">
        <v>65</v>
      </c>
      <c r="D1" s="207"/>
      <c r="E1" s="207" t="s">
        <v>64</v>
      </c>
      <c r="F1" s="207"/>
      <c r="G1" s="207" t="s">
        <v>59</v>
      </c>
      <c r="H1" s="207"/>
      <c r="I1" s="207" t="s">
        <v>58</v>
      </c>
      <c r="J1" s="207"/>
      <c r="L1" s="216" t="s">
        <v>9</v>
      </c>
      <c r="M1" s="218" t="s">
        <v>66</v>
      </c>
      <c r="N1" s="221" t="s">
        <v>71</v>
      </c>
      <c r="O1" s="222"/>
      <c r="P1" s="225" t="s">
        <v>72</v>
      </c>
      <c r="Q1" s="226"/>
      <c r="R1" s="221" t="s">
        <v>61</v>
      </c>
      <c r="S1" s="222"/>
      <c r="T1" s="221" t="s">
        <v>62</v>
      </c>
      <c r="U1" s="222"/>
      <c r="V1" s="223" t="s">
        <v>70</v>
      </c>
      <c r="W1" s="224"/>
      <c r="Y1" s="216" t="s">
        <v>9</v>
      </c>
      <c r="Z1" s="218" t="s">
        <v>66</v>
      </c>
      <c r="AA1" s="221" t="s">
        <v>87</v>
      </c>
      <c r="AB1" s="222"/>
    </row>
    <row r="2" spans="1:28" s="43" customFormat="1" x14ac:dyDescent="0.25">
      <c r="A2" s="207"/>
      <c r="B2" s="220"/>
      <c r="C2" s="79" t="s">
        <v>43</v>
      </c>
      <c r="D2" s="30" t="s">
        <v>67</v>
      </c>
      <c r="E2" s="79" t="s">
        <v>43</v>
      </c>
      <c r="F2" s="78" t="s">
        <v>67</v>
      </c>
      <c r="G2" s="79" t="s">
        <v>43</v>
      </c>
      <c r="H2" s="78" t="s">
        <v>67</v>
      </c>
      <c r="I2" s="79" t="s">
        <v>43</v>
      </c>
      <c r="J2" s="78" t="s">
        <v>67</v>
      </c>
      <c r="K2" s="4"/>
      <c r="L2" s="217"/>
      <c r="M2" s="219"/>
      <c r="N2" s="27" t="s">
        <v>43</v>
      </c>
      <c r="O2" s="28" t="s">
        <v>67</v>
      </c>
      <c r="P2" s="27" t="s">
        <v>43</v>
      </c>
      <c r="Q2" s="47" t="s">
        <v>2</v>
      </c>
      <c r="R2" s="27" t="s">
        <v>43</v>
      </c>
      <c r="S2" s="23" t="s">
        <v>67</v>
      </c>
      <c r="T2" s="27" t="s">
        <v>43</v>
      </c>
      <c r="U2" s="23" t="s">
        <v>67</v>
      </c>
      <c r="V2" s="27" t="s">
        <v>43</v>
      </c>
      <c r="W2" s="23" t="s">
        <v>67</v>
      </c>
      <c r="Y2" s="217"/>
      <c r="Z2" s="219"/>
      <c r="AA2" s="82" t="s">
        <v>43</v>
      </c>
      <c r="AB2" s="28" t="s">
        <v>67</v>
      </c>
    </row>
    <row r="3" spans="1:28" x14ac:dyDescent="0.25">
      <c r="A3" s="16" t="s">
        <v>75</v>
      </c>
      <c r="B3" s="194">
        <v>5.85</v>
      </c>
      <c r="C3" s="165">
        <v>1</v>
      </c>
      <c r="D3" s="20">
        <f>+$B3*C3</f>
        <v>5.85</v>
      </c>
      <c r="E3" s="165">
        <v>1</v>
      </c>
      <c r="F3" s="20">
        <f>+$B3*E3</f>
        <v>5.85</v>
      </c>
      <c r="G3" s="165">
        <v>1</v>
      </c>
      <c r="H3" s="20">
        <f t="shared" ref="H3:H24" si="0">+$B3*G3</f>
        <v>5.85</v>
      </c>
      <c r="I3" s="165">
        <v>1</v>
      </c>
      <c r="J3" s="20">
        <f>+$B3*I3</f>
        <v>5.85</v>
      </c>
      <c r="L3" s="16" t="s">
        <v>75</v>
      </c>
      <c r="M3" s="194">
        <v>5.85</v>
      </c>
      <c r="N3" s="165">
        <v>0</v>
      </c>
      <c r="O3" s="194">
        <f>+$M3*N3</f>
        <v>0</v>
      </c>
      <c r="P3" s="165">
        <v>0</v>
      </c>
      <c r="Q3" s="194">
        <f>+$M3*P3</f>
        <v>0</v>
      </c>
      <c r="R3" s="165">
        <v>0</v>
      </c>
      <c r="S3" s="194">
        <f t="shared" ref="S3:S24" si="1">+$M3*R3</f>
        <v>0</v>
      </c>
      <c r="T3" s="165">
        <v>0</v>
      </c>
      <c r="U3" s="194">
        <f>+$M3*T3</f>
        <v>0</v>
      </c>
      <c r="V3" s="165">
        <v>0.02</v>
      </c>
      <c r="W3" s="194">
        <f>+$M3*V3</f>
        <v>0.11699999999999999</v>
      </c>
      <c r="Y3" s="16" t="s">
        <v>75</v>
      </c>
      <c r="Z3" s="194">
        <v>5.85</v>
      </c>
      <c r="AA3" s="165">
        <v>1</v>
      </c>
      <c r="AB3" s="20">
        <f>+$B3*AA3</f>
        <v>5.85</v>
      </c>
    </row>
    <row r="4" spans="1:28" x14ac:dyDescent="0.25">
      <c r="A4" s="16" t="s">
        <v>179</v>
      </c>
      <c r="B4" s="194">
        <v>0.49</v>
      </c>
      <c r="C4" s="165">
        <v>20</v>
      </c>
      <c r="D4" s="20">
        <f t="shared" ref="D4:D24" si="2">+$B4*C4</f>
        <v>9.8000000000000007</v>
      </c>
      <c r="E4" s="165">
        <v>0</v>
      </c>
      <c r="F4" s="20">
        <f t="shared" ref="F4:F24" si="3">+$B4*E4</f>
        <v>0</v>
      </c>
      <c r="G4" s="165">
        <v>0</v>
      </c>
      <c r="H4" s="20">
        <f t="shared" si="0"/>
        <v>0</v>
      </c>
      <c r="I4" s="165">
        <v>0</v>
      </c>
      <c r="J4" s="20">
        <f t="shared" ref="J4:J24" si="4">+$B4*I4</f>
        <v>0</v>
      </c>
      <c r="L4" s="16" t="s">
        <v>179</v>
      </c>
      <c r="M4" s="194">
        <v>0.49</v>
      </c>
      <c r="N4" s="165">
        <v>30</v>
      </c>
      <c r="O4" s="194">
        <f t="shared" ref="O4:O24" si="5">+$M4*N4</f>
        <v>14.7</v>
      </c>
      <c r="P4" s="165">
        <v>0</v>
      </c>
      <c r="Q4" s="194">
        <f t="shared" ref="Q4:Q24" si="6">+$M4*P4</f>
        <v>0</v>
      </c>
      <c r="R4" s="165">
        <v>0</v>
      </c>
      <c r="S4" s="194">
        <f t="shared" si="1"/>
        <v>0</v>
      </c>
      <c r="T4" s="165">
        <v>0</v>
      </c>
      <c r="U4" s="194">
        <f t="shared" ref="U4:U24" si="7">+$M4*T4</f>
        <v>0</v>
      </c>
      <c r="V4" s="165">
        <v>0</v>
      </c>
      <c r="W4" s="194">
        <f t="shared" ref="W4:W24" si="8">+$M4*V4</f>
        <v>0</v>
      </c>
      <c r="Y4" s="16" t="s">
        <v>179</v>
      </c>
      <c r="Z4" s="194">
        <v>0.49</v>
      </c>
      <c r="AA4" s="165">
        <v>20</v>
      </c>
      <c r="AB4" s="20">
        <f t="shared" ref="AB4:AB24" si="9">+$B4*AA4</f>
        <v>9.8000000000000007</v>
      </c>
    </row>
    <row r="5" spans="1:28" x14ac:dyDescent="0.25">
      <c r="A5" s="16" t="s">
        <v>180</v>
      </c>
      <c r="B5" s="194">
        <v>0.51</v>
      </c>
      <c r="C5" s="165">
        <v>0</v>
      </c>
      <c r="D5" s="20">
        <f t="shared" si="2"/>
        <v>0</v>
      </c>
      <c r="E5" s="165">
        <v>70</v>
      </c>
      <c r="F5" s="194">
        <f t="shared" si="3"/>
        <v>35.700000000000003</v>
      </c>
      <c r="G5" s="165">
        <v>45</v>
      </c>
      <c r="H5" s="20">
        <f>+$B5*G5</f>
        <v>22.95</v>
      </c>
      <c r="I5" s="165">
        <v>70</v>
      </c>
      <c r="J5" s="194">
        <f t="shared" si="4"/>
        <v>35.700000000000003</v>
      </c>
      <c r="L5" s="16" t="s">
        <v>180</v>
      </c>
      <c r="M5" s="194">
        <v>0.51</v>
      </c>
      <c r="N5" s="165">
        <v>0</v>
      </c>
      <c r="O5" s="194">
        <f t="shared" si="5"/>
        <v>0</v>
      </c>
      <c r="P5" s="165">
        <v>30</v>
      </c>
      <c r="Q5" s="194">
        <f t="shared" si="6"/>
        <v>15.3</v>
      </c>
      <c r="R5" s="165">
        <v>30</v>
      </c>
      <c r="S5" s="194">
        <f t="shared" si="1"/>
        <v>15.3</v>
      </c>
      <c r="T5" s="165">
        <v>30</v>
      </c>
      <c r="U5" s="194">
        <f t="shared" si="7"/>
        <v>15.3</v>
      </c>
      <c r="V5" s="165">
        <v>0</v>
      </c>
      <c r="W5" s="194">
        <f t="shared" si="8"/>
        <v>0</v>
      </c>
      <c r="Y5" s="16" t="s">
        <v>180</v>
      </c>
      <c r="Z5" s="194">
        <v>0.51</v>
      </c>
      <c r="AA5" s="165">
        <v>150</v>
      </c>
      <c r="AB5" s="194">
        <f t="shared" si="9"/>
        <v>76.5</v>
      </c>
    </row>
    <row r="6" spans="1:28" x14ac:dyDescent="0.25">
      <c r="A6" s="16" t="s">
        <v>10</v>
      </c>
      <c r="B6" s="194">
        <v>0.05</v>
      </c>
      <c r="C6" s="165">
        <v>10</v>
      </c>
      <c r="D6" s="20">
        <f t="shared" si="2"/>
        <v>0.5</v>
      </c>
      <c r="E6" s="165">
        <v>20</v>
      </c>
      <c r="F6" s="20">
        <f t="shared" si="3"/>
        <v>1</v>
      </c>
      <c r="G6" s="165">
        <v>10</v>
      </c>
      <c r="H6" s="20">
        <f t="shared" si="0"/>
        <v>0.5</v>
      </c>
      <c r="I6" s="165">
        <v>5</v>
      </c>
      <c r="J6" s="20">
        <f t="shared" si="4"/>
        <v>0.25</v>
      </c>
      <c r="L6" s="16" t="s">
        <v>10</v>
      </c>
      <c r="M6" s="194">
        <v>0.05</v>
      </c>
      <c r="N6" s="165">
        <v>10</v>
      </c>
      <c r="O6" s="194">
        <f t="shared" si="5"/>
        <v>0.5</v>
      </c>
      <c r="P6" s="165">
        <v>20</v>
      </c>
      <c r="Q6" s="194">
        <f t="shared" si="6"/>
        <v>1</v>
      </c>
      <c r="R6" s="165">
        <v>20</v>
      </c>
      <c r="S6" s="194">
        <f t="shared" si="1"/>
        <v>1</v>
      </c>
      <c r="T6" s="165">
        <v>20</v>
      </c>
      <c r="U6" s="194">
        <f t="shared" si="7"/>
        <v>1</v>
      </c>
      <c r="V6" s="165">
        <v>2</v>
      </c>
      <c r="W6" s="194">
        <f t="shared" si="8"/>
        <v>0.1</v>
      </c>
      <c r="Y6" s="16" t="s">
        <v>10</v>
      </c>
      <c r="Z6" s="194">
        <v>0.05</v>
      </c>
      <c r="AA6" s="165">
        <v>50</v>
      </c>
      <c r="AB6" s="20">
        <f t="shared" si="9"/>
        <v>2.5</v>
      </c>
    </row>
    <row r="7" spans="1:28" x14ac:dyDescent="0.25">
      <c r="A7" s="16" t="s">
        <v>11</v>
      </c>
      <c r="B7" s="194">
        <v>0.45</v>
      </c>
      <c r="C7" s="165">
        <v>1</v>
      </c>
      <c r="D7" s="20">
        <f t="shared" si="2"/>
        <v>0.45</v>
      </c>
      <c r="E7" s="165">
        <v>1</v>
      </c>
      <c r="F7" s="20">
        <f t="shared" si="3"/>
        <v>0.45</v>
      </c>
      <c r="G7" s="165">
        <v>1</v>
      </c>
      <c r="H7" s="20">
        <f t="shared" si="0"/>
        <v>0.45</v>
      </c>
      <c r="I7" s="165">
        <v>1</v>
      </c>
      <c r="J7" s="20">
        <f t="shared" si="4"/>
        <v>0.45</v>
      </c>
      <c r="L7" s="16" t="s">
        <v>11</v>
      </c>
      <c r="M7" s="194">
        <v>0.45</v>
      </c>
      <c r="N7" s="165">
        <v>1</v>
      </c>
      <c r="O7" s="194">
        <f t="shared" si="5"/>
        <v>0.45</v>
      </c>
      <c r="P7" s="165">
        <v>0</v>
      </c>
      <c r="Q7" s="194">
        <f t="shared" si="6"/>
        <v>0</v>
      </c>
      <c r="R7" s="165">
        <v>0</v>
      </c>
      <c r="S7" s="194">
        <f t="shared" si="1"/>
        <v>0</v>
      </c>
      <c r="T7" s="165">
        <v>0</v>
      </c>
      <c r="U7" s="194">
        <f t="shared" si="7"/>
        <v>0</v>
      </c>
      <c r="V7" s="165">
        <v>0</v>
      </c>
      <c r="W7" s="194">
        <f t="shared" si="8"/>
        <v>0</v>
      </c>
      <c r="Y7" s="16" t="s">
        <v>11</v>
      </c>
      <c r="Z7" s="194">
        <v>0.45</v>
      </c>
      <c r="AA7" s="165">
        <v>1</v>
      </c>
      <c r="AB7" s="20">
        <f t="shared" si="9"/>
        <v>0.45</v>
      </c>
    </row>
    <row r="8" spans="1:28" x14ac:dyDescent="0.25">
      <c r="A8" s="16" t="s">
        <v>181</v>
      </c>
      <c r="B8" s="194">
        <v>0.1</v>
      </c>
      <c r="C8" s="165">
        <v>3</v>
      </c>
      <c r="D8" s="20">
        <f t="shared" si="2"/>
        <v>0.30000000000000004</v>
      </c>
      <c r="E8" s="165">
        <v>3</v>
      </c>
      <c r="F8" s="20">
        <f t="shared" si="3"/>
        <v>0.30000000000000004</v>
      </c>
      <c r="G8" s="165">
        <v>3</v>
      </c>
      <c r="H8" s="20">
        <f t="shared" si="0"/>
        <v>0.30000000000000004</v>
      </c>
      <c r="I8" s="165">
        <v>3</v>
      </c>
      <c r="J8" s="20">
        <f t="shared" si="4"/>
        <v>0.30000000000000004</v>
      </c>
      <c r="L8" s="16" t="s">
        <v>181</v>
      </c>
      <c r="M8" s="194">
        <v>0.1</v>
      </c>
      <c r="N8" s="165">
        <v>3</v>
      </c>
      <c r="O8" s="194">
        <f t="shared" si="5"/>
        <v>0.30000000000000004</v>
      </c>
      <c r="P8" s="165">
        <v>3</v>
      </c>
      <c r="Q8" s="194">
        <f t="shared" si="6"/>
        <v>0.30000000000000004</v>
      </c>
      <c r="R8" s="165">
        <v>3</v>
      </c>
      <c r="S8" s="194">
        <f t="shared" si="1"/>
        <v>0.30000000000000004</v>
      </c>
      <c r="T8" s="165">
        <v>3</v>
      </c>
      <c r="U8" s="194">
        <f t="shared" si="7"/>
        <v>0.30000000000000004</v>
      </c>
      <c r="V8" s="165">
        <v>0</v>
      </c>
      <c r="W8" s="194">
        <f t="shared" si="8"/>
        <v>0</v>
      </c>
      <c r="Y8" s="16" t="s">
        <v>181</v>
      </c>
      <c r="Z8" s="194">
        <v>0.1</v>
      </c>
      <c r="AA8" s="165">
        <v>3</v>
      </c>
      <c r="AB8" s="20">
        <f t="shared" si="9"/>
        <v>0.30000000000000004</v>
      </c>
    </row>
    <row r="9" spans="1:28" x14ac:dyDescent="0.25">
      <c r="A9" s="16" t="s">
        <v>182</v>
      </c>
      <c r="B9" s="194">
        <v>2.1000000000000001E-2</v>
      </c>
      <c r="C9" s="165">
        <v>0</v>
      </c>
      <c r="D9" s="20">
        <f t="shared" si="2"/>
        <v>0</v>
      </c>
      <c r="E9" s="165">
        <v>0</v>
      </c>
      <c r="F9" s="20">
        <f t="shared" si="3"/>
        <v>0</v>
      </c>
      <c r="G9" s="165">
        <v>20</v>
      </c>
      <c r="H9" s="20">
        <f t="shared" si="0"/>
        <v>0.42000000000000004</v>
      </c>
      <c r="I9" s="165">
        <v>0</v>
      </c>
      <c r="J9" s="20">
        <f t="shared" si="4"/>
        <v>0</v>
      </c>
      <c r="L9" s="16" t="s">
        <v>182</v>
      </c>
      <c r="M9" s="194">
        <v>2.1000000000000001E-2</v>
      </c>
      <c r="N9" s="165">
        <v>0</v>
      </c>
      <c r="O9" s="194">
        <f t="shared" si="5"/>
        <v>0</v>
      </c>
      <c r="P9" s="165">
        <v>0</v>
      </c>
      <c r="Q9" s="194">
        <f t="shared" si="6"/>
        <v>0</v>
      </c>
      <c r="R9" s="165">
        <v>60</v>
      </c>
      <c r="S9" s="194">
        <f t="shared" si="1"/>
        <v>1.26</v>
      </c>
      <c r="T9" s="165">
        <v>0</v>
      </c>
      <c r="U9" s="194">
        <f t="shared" si="7"/>
        <v>0</v>
      </c>
      <c r="V9" s="165">
        <v>0</v>
      </c>
      <c r="W9" s="194">
        <f t="shared" si="8"/>
        <v>0</v>
      </c>
      <c r="Y9" s="16" t="s">
        <v>182</v>
      </c>
      <c r="Z9" s="194">
        <v>2.1000000000000001E-2</v>
      </c>
      <c r="AA9" s="165">
        <v>0</v>
      </c>
      <c r="AB9" s="20">
        <f t="shared" si="9"/>
        <v>0</v>
      </c>
    </row>
    <row r="10" spans="1:28" x14ac:dyDescent="0.25">
      <c r="A10" s="16" t="s">
        <v>183</v>
      </c>
      <c r="B10" s="194">
        <v>0.36</v>
      </c>
      <c r="C10" s="165">
        <v>3</v>
      </c>
      <c r="D10" s="20">
        <f t="shared" si="2"/>
        <v>1.08</v>
      </c>
      <c r="E10" s="165">
        <v>3</v>
      </c>
      <c r="F10" s="20">
        <f t="shared" si="3"/>
        <v>1.08</v>
      </c>
      <c r="G10" s="165">
        <v>3</v>
      </c>
      <c r="H10" s="20">
        <f t="shared" si="0"/>
        <v>1.08</v>
      </c>
      <c r="I10" s="165">
        <v>3</v>
      </c>
      <c r="J10" s="20">
        <f t="shared" si="4"/>
        <v>1.08</v>
      </c>
      <c r="L10" s="16" t="s">
        <v>183</v>
      </c>
      <c r="M10" s="194">
        <v>0.36</v>
      </c>
      <c r="N10" s="165">
        <v>0</v>
      </c>
      <c r="O10" s="194">
        <f t="shared" si="5"/>
        <v>0</v>
      </c>
      <c r="P10" s="165">
        <v>0</v>
      </c>
      <c r="Q10" s="194">
        <f t="shared" si="6"/>
        <v>0</v>
      </c>
      <c r="R10" s="165">
        <v>0</v>
      </c>
      <c r="S10" s="194">
        <f t="shared" si="1"/>
        <v>0</v>
      </c>
      <c r="T10" s="165">
        <v>0</v>
      </c>
      <c r="U10" s="194">
        <f t="shared" si="7"/>
        <v>0</v>
      </c>
      <c r="V10" s="165">
        <v>3</v>
      </c>
      <c r="W10" s="194">
        <f t="shared" si="8"/>
        <v>1.08</v>
      </c>
      <c r="Y10" s="16" t="s">
        <v>183</v>
      </c>
      <c r="Z10" s="194">
        <v>0.36</v>
      </c>
      <c r="AA10" s="165">
        <v>3</v>
      </c>
      <c r="AB10" s="20">
        <f t="shared" si="9"/>
        <v>1.08</v>
      </c>
    </row>
    <row r="11" spans="1:28" x14ac:dyDescent="0.25">
      <c r="A11" s="16" t="s">
        <v>17</v>
      </c>
      <c r="B11" s="194">
        <v>0.05</v>
      </c>
      <c r="C11" s="165">
        <v>1</v>
      </c>
      <c r="D11" s="20">
        <f t="shared" si="2"/>
        <v>0.05</v>
      </c>
      <c r="E11" s="165">
        <v>1</v>
      </c>
      <c r="F11" s="20">
        <f t="shared" si="3"/>
        <v>0.05</v>
      </c>
      <c r="G11" s="165">
        <v>1</v>
      </c>
      <c r="H11" s="20">
        <f t="shared" si="0"/>
        <v>0.05</v>
      </c>
      <c r="I11" s="165">
        <v>1</v>
      </c>
      <c r="J11" s="20">
        <f t="shared" si="4"/>
        <v>0.05</v>
      </c>
      <c r="L11" s="16" t="s">
        <v>17</v>
      </c>
      <c r="M11" s="194">
        <v>0.05</v>
      </c>
      <c r="N11" s="165">
        <v>0</v>
      </c>
      <c r="O11" s="194">
        <f t="shared" si="5"/>
        <v>0</v>
      </c>
      <c r="P11" s="165">
        <v>0</v>
      </c>
      <c r="Q11" s="194">
        <f t="shared" si="6"/>
        <v>0</v>
      </c>
      <c r="R11" s="165">
        <v>0</v>
      </c>
      <c r="S11" s="194">
        <f t="shared" si="1"/>
        <v>0</v>
      </c>
      <c r="T11" s="165">
        <v>0</v>
      </c>
      <c r="U11" s="194">
        <f t="shared" si="7"/>
        <v>0</v>
      </c>
      <c r="V11" s="165">
        <v>0</v>
      </c>
      <c r="W11" s="194">
        <f t="shared" si="8"/>
        <v>0</v>
      </c>
      <c r="Y11" s="16" t="s">
        <v>17</v>
      </c>
      <c r="Z11" s="194">
        <v>0.05</v>
      </c>
      <c r="AA11" s="165">
        <v>1</v>
      </c>
      <c r="AB11" s="20">
        <f t="shared" si="9"/>
        <v>0.05</v>
      </c>
    </row>
    <row r="12" spans="1:28" x14ac:dyDescent="0.25">
      <c r="A12" s="16" t="s">
        <v>18</v>
      </c>
      <c r="B12" s="194">
        <v>3.5</v>
      </c>
      <c r="C12" s="165">
        <v>0</v>
      </c>
      <c r="D12" s="20">
        <f t="shared" si="2"/>
        <v>0</v>
      </c>
      <c r="E12" s="165">
        <v>0</v>
      </c>
      <c r="F12" s="20">
        <f t="shared" si="3"/>
        <v>0</v>
      </c>
      <c r="G12" s="165">
        <v>0</v>
      </c>
      <c r="H12" s="20">
        <f t="shared" si="0"/>
        <v>0</v>
      </c>
      <c r="I12" s="165">
        <v>2</v>
      </c>
      <c r="J12" s="20">
        <f t="shared" si="4"/>
        <v>7</v>
      </c>
      <c r="L12" s="16" t="s">
        <v>18</v>
      </c>
      <c r="M12" s="194">
        <v>4</v>
      </c>
      <c r="N12" s="165">
        <v>0</v>
      </c>
      <c r="O12" s="194">
        <f t="shared" si="5"/>
        <v>0</v>
      </c>
      <c r="P12" s="165">
        <v>0</v>
      </c>
      <c r="Q12" s="194">
        <f t="shared" si="6"/>
        <v>0</v>
      </c>
      <c r="R12" s="165">
        <v>0</v>
      </c>
      <c r="S12" s="194">
        <f t="shared" si="1"/>
        <v>0</v>
      </c>
      <c r="T12" s="165">
        <v>2</v>
      </c>
      <c r="U12" s="194">
        <f t="shared" si="7"/>
        <v>8</v>
      </c>
      <c r="V12" s="165">
        <v>0</v>
      </c>
      <c r="W12" s="194">
        <f t="shared" si="8"/>
        <v>0</v>
      </c>
      <c r="Y12" s="16" t="s">
        <v>18</v>
      </c>
      <c r="Z12" s="194">
        <v>4</v>
      </c>
      <c r="AA12" s="165">
        <v>0</v>
      </c>
      <c r="AB12" s="20">
        <f t="shared" si="9"/>
        <v>0</v>
      </c>
    </row>
    <row r="13" spans="1:28" x14ac:dyDescent="0.25">
      <c r="A13" s="16" t="s">
        <v>19</v>
      </c>
      <c r="B13" s="194">
        <v>2</v>
      </c>
      <c r="C13" s="165">
        <v>0</v>
      </c>
      <c r="D13" s="20">
        <f t="shared" si="2"/>
        <v>0</v>
      </c>
      <c r="E13" s="165">
        <v>0</v>
      </c>
      <c r="F13" s="20">
        <f t="shared" si="3"/>
        <v>0</v>
      </c>
      <c r="G13" s="165">
        <v>0</v>
      </c>
      <c r="H13" s="20">
        <f t="shared" si="0"/>
        <v>0</v>
      </c>
      <c r="I13" s="165">
        <v>1</v>
      </c>
      <c r="J13" s="20">
        <f t="shared" si="4"/>
        <v>2</v>
      </c>
      <c r="L13" s="16" t="s">
        <v>19</v>
      </c>
      <c r="M13" s="194">
        <v>2</v>
      </c>
      <c r="N13" s="165">
        <v>0</v>
      </c>
      <c r="O13" s="194">
        <f t="shared" si="5"/>
        <v>0</v>
      </c>
      <c r="P13" s="165">
        <v>0</v>
      </c>
      <c r="Q13" s="194">
        <f t="shared" si="6"/>
        <v>0</v>
      </c>
      <c r="R13" s="165">
        <v>0</v>
      </c>
      <c r="S13" s="194">
        <f t="shared" si="1"/>
        <v>0</v>
      </c>
      <c r="T13" s="165">
        <v>0</v>
      </c>
      <c r="U13" s="194">
        <f t="shared" si="7"/>
        <v>0</v>
      </c>
      <c r="V13" s="165">
        <v>0</v>
      </c>
      <c r="W13" s="194">
        <f t="shared" si="8"/>
        <v>0</v>
      </c>
      <c r="Y13" s="16" t="s">
        <v>19</v>
      </c>
      <c r="Z13" s="194">
        <v>2</v>
      </c>
      <c r="AA13" s="165">
        <v>0</v>
      </c>
      <c r="AB13" s="20">
        <f t="shared" si="9"/>
        <v>0</v>
      </c>
    </row>
    <row r="14" spans="1:28" x14ac:dyDescent="0.25">
      <c r="A14" s="16" t="s">
        <v>25</v>
      </c>
      <c r="B14" s="194">
        <v>3.85</v>
      </c>
      <c r="C14" s="165">
        <v>0</v>
      </c>
      <c r="D14" s="20">
        <f t="shared" si="2"/>
        <v>0</v>
      </c>
      <c r="E14" s="165">
        <v>1</v>
      </c>
      <c r="F14" s="20">
        <f t="shared" si="3"/>
        <v>3.85</v>
      </c>
      <c r="G14" s="165">
        <v>0.05</v>
      </c>
      <c r="H14" s="20">
        <f t="shared" si="0"/>
        <v>0.1925</v>
      </c>
      <c r="I14" s="165">
        <v>0.1</v>
      </c>
      <c r="J14" s="20">
        <f t="shared" si="4"/>
        <v>0.38500000000000001</v>
      </c>
      <c r="L14" s="16" t="s">
        <v>25</v>
      </c>
      <c r="M14" s="194">
        <v>3.85</v>
      </c>
      <c r="N14" s="165">
        <v>0</v>
      </c>
      <c r="O14" s="194">
        <f t="shared" si="5"/>
        <v>0</v>
      </c>
      <c r="P14" s="165">
        <v>0</v>
      </c>
      <c r="Q14" s="194">
        <f t="shared" si="6"/>
        <v>0</v>
      </c>
      <c r="R14" s="165">
        <v>0</v>
      </c>
      <c r="S14" s="194">
        <f t="shared" si="1"/>
        <v>0</v>
      </c>
      <c r="T14" s="165">
        <v>0</v>
      </c>
      <c r="U14" s="194">
        <f t="shared" si="7"/>
        <v>0</v>
      </c>
      <c r="V14" s="165">
        <v>0</v>
      </c>
      <c r="W14" s="194">
        <f t="shared" si="8"/>
        <v>0</v>
      </c>
      <c r="Y14" s="16" t="s">
        <v>25</v>
      </c>
      <c r="Z14" s="194">
        <v>3.85</v>
      </c>
      <c r="AA14" s="165">
        <v>0</v>
      </c>
      <c r="AB14" s="20">
        <f t="shared" si="9"/>
        <v>0</v>
      </c>
    </row>
    <row r="15" spans="1:28" x14ac:dyDescent="0.25">
      <c r="A15" s="16" t="s">
        <v>20</v>
      </c>
      <c r="B15" s="194">
        <v>2.84</v>
      </c>
      <c r="C15" s="165">
        <v>0</v>
      </c>
      <c r="D15" s="20">
        <f t="shared" si="2"/>
        <v>0</v>
      </c>
      <c r="E15" s="165">
        <v>0</v>
      </c>
      <c r="F15" s="20">
        <f t="shared" si="3"/>
        <v>0</v>
      </c>
      <c r="G15" s="165">
        <v>0</v>
      </c>
      <c r="H15" s="20">
        <f t="shared" si="0"/>
        <v>0</v>
      </c>
      <c r="I15" s="165">
        <v>0</v>
      </c>
      <c r="J15" s="20">
        <f t="shared" si="4"/>
        <v>0</v>
      </c>
      <c r="L15" s="16" t="s">
        <v>20</v>
      </c>
      <c r="M15" s="194">
        <v>2.84</v>
      </c>
      <c r="N15" s="165">
        <v>0</v>
      </c>
      <c r="O15" s="194">
        <f t="shared" si="5"/>
        <v>0</v>
      </c>
      <c r="P15" s="165">
        <v>0</v>
      </c>
      <c r="Q15" s="194">
        <f t="shared" si="6"/>
        <v>0</v>
      </c>
      <c r="R15" s="165">
        <v>0</v>
      </c>
      <c r="S15" s="194">
        <f t="shared" si="1"/>
        <v>0</v>
      </c>
      <c r="T15" s="165">
        <v>0</v>
      </c>
      <c r="U15" s="194">
        <f t="shared" si="7"/>
        <v>0</v>
      </c>
      <c r="V15" s="165">
        <v>0</v>
      </c>
      <c r="W15" s="194">
        <f t="shared" si="8"/>
        <v>0</v>
      </c>
      <c r="Y15" s="16" t="s">
        <v>20</v>
      </c>
      <c r="Z15" s="194">
        <v>2.84</v>
      </c>
      <c r="AA15" s="165">
        <v>0</v>
      </c>
      <c r="AB15" s="20">
        <f t="shared" si="9"/>
        <v>0</v>
      </c>
    </row>
    <row r="16" spans="1:28" x14ac:dyDescent="0.25">
      <c r="A16" s="16" t="s">
        <v>21</v>
      </c>
      <c r="B16" s="194">
        <v>4.8</v>
      </c>
      <c r="C16" s="165">
        <v>0</v>
      </c>
      <c r="D16" s="20">
        <f t="shared" si="2"/>
        <v>0</v>
      </c>
      <c r="E16" s="165">
        <v>0</v>
      </c>
      <c r="F16" s="20">
        <f t="shared" si="3"/>
        <v>0</v>
      </c>
      <c r="G16" s="165">
        <v>0</v>
      </c>
      <c r="H16" s="20">
        <f t="shared" si="0"/>
        <v>0</v>
      </c>
      <c r="I16" s="165">
        <v>0.2</v>
      </c>
      <c r="J16" s="20">
        <f t="shared" si="4"/>
        <v>0.96</v>
      </c>
      <c r="L16" s="16" t="s">
        <v>21</v>
      </c>
      <c r="M16" s="194">
        <v>4.8</v>
      </c>
      <c r="N16" s="165">
        <v>0</v>
      </c>
      <c r="O16" s="194">
        <f t="shared" si="5"/>
        <v>0</v>
      </c>
      <c r="P16" s="165">
        <v>0</v>
      </c>
      <c r="Q16" s="194">
        <f t="shared" si="6"/>
        <v>0</v>
      </c>
      <c r="R16" s="165">
        <v>0</v>
      </c>
      <c r="S16" s="194">
        <f t="shared" si="1"/>
        <v>0</v>
      </c>
      <c r="T16" s="165">
        <v>0.1</v>
      </c>
      <c r="U16" s="194">
        <f t="shared" si="7"/>
        <v>0.48</v>
      </c>
      <c r="V16" s="165">
        <v>0</v>
      </c>
      <c r="W16" s="194">
        <f t="shared" si="8"/>
        <v>0</v>
      </c>
      <c r="Y16" s="16" t="s">
        <v>21</v>
      </c>
      <c r="Z16" s="194">
        <v>4.8</v>
      </c>
      <c r="AA16" s="165">
        <v>0</v>
      </c>
      <c r="AB16" s="20">
        <f t="shared" si="9"/>
        <v>0</v>
      </c>
    </row>
    <row r="17" spans="1:28" x14ac:dyDescent="0.25">
      <c r="A17" s="16" t="s">
        <v>22</v>
      </c>
      <c r="B17" s="194">
        <v>4.91</v>
      </c>
      <c r="C17" s="165">
        <v>0</v>
      </c>
      <c r="D17" s="20">
        <f t="shared" si="2"/>
        <v>0</v>
      </c>
      <c r="E17" s="165">
        <v>0</v>
      </c>
      <c r="F17" s="20">
        <f t="shared" si="3"/>
        <v>0</v>
      </c>
      <c r="G17" s="165">
        <v>0</v>
      </c>
      <c r="H17" s="20">
        <f t="shared" si="0"/>
        <v>0</v>
      </c>
      <c r="I17" s="165">
        <v>0.2</v>
      </c>
      <c r="J17" s="20">
        <f t="shared" si="4"/>
        <v>0.9820000000000001</v>
      </c>
      <c r="L17" s="16" t="s">
        <v>22</v>
      </c>
      <c r="M17" s="194">
        <v>4.91</v>
      </c>
      <c r="N17" s="165">
        <v>0</v>
      </c>
      <c r="O17" s="194">
        <f t="shared" si="5"/>
        <v>0</v>
      </c>
      <c r="P17" s="165">
        <v>0</v>
      </c>
      <c r="Q17" s="194">
        <f t="shared" si="6"/>
        <v>0</v>
      </c>
      <c r="R17" s="165">
        <v>0</v>
      </c>
      <c r="S17" s="194">
        <f t="shared" si="1"/>
        <v>0</v>
      </c>
      <c r="T17" s="165">
        <v>0.1</v>
      </c>
      <c r="U17" s="194">
        <f t="shared" si="7"/>
        <v>0.49100000000000005</v>
      </c>
      <c r="V17" s="165">
        <v>0</v>
      </c>
      <c r="W17" s="194">
        <f t="shared" si="8"/>
        <v>0</v>
      </c>
      <c r="Y17" s="16" t="s">
        <v>22</v>
      </c>
      <c r="Z17" s="194">
        <v>4.91</v>
      </c>
      <c r="AA17" s="165">
        <v>0</v>
      </c>
      <c r="AB17" s="20">
        <f t="shared" si="9"/>
        <v>0</v>
      </c>
    </row>
    <row r="18" spans="1:28" x14ac:dyDescent="0.25">
      <c r="A18" s="16" t="s">
        <v>23</v>
      </c>
      <c r="B18" s="194">
        <v>9.16</v>
      </c>
      <c r="C18" s="165">
        <v>0</v>
      </c>
      <c r="D18" s="20">
        <f t="shared" si="2"/>
        <v>0</v>
      </c>
      <c r="E18" s="165">
        <v>0</v>
      </c>
      <c r="F18" s="20">
        <f t="shared" si="3"/>
        <v>0</v>
      </c>
      <c r="G18" s="165">
        <v>0</v>
      </c>
      <c r="H18" s="20">
        <f t="shared" si="0"/>
        <v>0</v>
      </c>
      <c r="I18" s="165">
        <v>0.1</v>
      </c>
      <c r="J18" s="20">
        <f t="shared" si="4"/>
        <v>0.91600000000000004</v>
      </c>
      <c r="L18" s="16" t="s">
        <v>23</v>
      </c>
      <c r="M18" s="194">
        <v>9.16</v>
      </c>
      <c r="N18" s="165">
        <v>0</v>
      </c>
      <c r="O18" s="194">
        <f t="shared" si="5"/>
        <v>0</v>
      </c>
      <c r="P18" s="165">
        <v>0</v>
      </c>
      <c r="Q18" s="194">
        <f t="shared" si="6"/>
        <v>0</v>
      </c>
      <c r="R18" s="165">
        <v>0</v>
      </c>
      <c r="S18" s="194">
        <f t="shared" si="1"/>
        <v>0</v>
      </c>
      <c r="T18" s="165">
        <v>0.1</v>
      </c>
      <c r="U18" s="194">
        <f t="shared" si="7"/>
        <v>0.91600000000000004</v>
      </c>
      <c r="V18" s="165">
        <v>0</v>
      </c>
      <c r="W18" s="194">
        <f t="shared" si="8"/>
        <v>0</v>
      </c>
      <c r="Y18" s="16" t="s">
        <v>23</v>
      </c>
      <c r="Z18" s="194">
        <v>9.16</v>
      </c>
      <c r="AA18" s="165">
        <v>0</v>
      </c>
      <c r="AB18" s="20">
        <f t="shared" si="9"/>
        <v>0</v>
      </c>
    </row>
    <row r="19" spans="1:28" x14ac:dyDescent="0.25">
      <c r="A19" s="16" t="s">
        <v>24</v>
      </c>
      <c r="B19" s="194">
        <v>0.2</v>
      </c>
      <c r="C19" s="165">
        <v>0</v>
      </c>
      <c r="D19" s="20">
        <f t="shared" si="2"/>
        <v>0</v>
      </c>
      <c r="E19" s="165">
        <v>0</v>
      </c>
      <c r="F19" s="20">
        <f t="shared" si="3"/>
        <v>0</v>
      </c>
      <c r="G19" s="165">
        <v>0</v>
      </c>
      <c r="H19" s="20">
        <f t="shared" si="0"/>
        <v>0</v>
      </c>
      <c r="I19" s="165">
        <v>6</v>
      </c>
      <c r="J19" s="20">
        <f t="shared" si="4"/>
        <v>1.2000000000000002</v>
      </c>
      <c r="L19" s="16" t="s">
        <v>24</v>
      </c>
      <c r="M19" s="194">
        <v>0.2</v>
      </c>
      <c r="N19" s="165">
        <v>0</v>
      </c>
      <c r="O19" s="194">
        <f t="shared" si="5"/>
        <v>0</v>
      </c>
      <c r="P19" s="165">
        <v>0</v>
      </c>
      <c r="Q19" s="194">
        <f t="shared" si="6"/>
        <v>0</v>
      </c>
      <c r="R19" s="165">
        <v>0</v>
      </c>
      <c r="S19" s="194">
        <f t="shared" si="1"/>
        <v>0</v>
      </c>
      <c r="T19" s="165">
        <v>0.1</v>
      </c>
      <c r="U19" s="194">
        <f t="shared" si="7"/>
        <v>2.0000000000000004E-2</v>
      </c>
      <c r="V19" s="165">
        <v>0</v>
      </c>
      <c r="W19" s="194">
        <f t="shared" si="8"/>
        <v>0</v>
      </c>
      <c r="Y19" s="16" t="s">
        <v>24</v>
      </c>
      <c r="Z19" s="194">
        <v>0.2</v>
      </c>
      <c r="AA19" s="165">
        <v>0</v>
      </c>
      <c r="AB19" s="20">
        <f t="shared" si="9"/>
        <v>0</v>
      </c>
    </row>
    <row r="20" spans="1:28" x14ac:dyDescent="0.25">
      <c r="A20" s="16" t="s">
        <v>12</v>
      </c>
      <c r="B20" s="194">
        <v>1</v>
      </c>
      <c r="C20" s="165">
        <v>0</v>
      </c>
      <c r="D20" s="20">
        <f t="shared" si="2"/>
        <v>0</v>
      </c>
      <c r="E20" s="165">
        <v>1</v>
      </c>
      <c r="F20" s="20">
        <f t="shared" si="3"/>
        <v>1</v>
      </c>
      <c r="G20" s="165">
        <v>1</v>
      </c>
      <c r="H20" s="20">
        <f t="shared" si="0"/>
        <v>1</v>
      </c>
      <c r="I20" s="165">
        <v>1</v>
      </c>
      <c r="J20" s="20">
        <f t="shared" si="4"/>
        <v>1</v>
      </c>
      <c r="L20" s="16" t="s">
        <v>12</v>
      </c>
      <c r="M20" s="194">
        <v>1</v>
      </c>
      <c r="N20" s="165">
        <v>1</v>
      </c>
      <c r="O20" s="194">
        <f t="shared" si="5"/>
        <v>1</v>
      </c>
      <c r="P20" s="165">
        <v>1</v>
      </c>
      <c r="Q20" s="194">
        <f t="shared" si="6"/>
        <v>1</v>
      </c>
      <c r="R20" s="165">
        <v>1</v>
      </c>
      <c r="S20" s="194">
        <f t="shared" si="1"/>
        <v>1</v>
      </c>
      <c r="T20" s="165">
        <v>1</v>
      </c>
      <c r="U20" s="194">
        <f t="shared" si="7"/>
        <v>1</v>
      </c>
      <c r="V20" s="165">
        <v>0.5</v>
      </c>
      <c r="W20" s="194">
        <f t="shared" si="8"/>
        <v>0.5</v>
      </c>
      <c r="Y20" s="16" t="s">
        <v>12</v>
      </c>
      <c r="Z20" s="194">
        <v>1</v>
      </c>
      <c r="AA20" s="165">
        <v>2</v>
      </c>
      <c r="AB20" s="20">
        <f t="shared" si="9"/>
        <v>2</v>
      </c>
    </row>
    <row r="21" spans="1:28" x14ac:dyDescent="0.25">
      <c r="A21" s="16" t="s">
        <v>26</v>
      </c>
      <c r="B21" s="194">
        <v>0.9</v>
      </c>
      <c r="C21" s="165">
        <v>0</v>
      </c>
      <c r="D21" s="20">
        <f t="shared" si="2"/>
        <v>0</v>
      </c>
      <c r="E21" s="165">
        <v>0</v>
      </c>
      <c r="F21" s="20">
        <f t="shared" si="3"/>
        <v>0</v>
      </c>
      <c r="G21" s="165">
        <v>0</v>
      </c>
      <c r="H21" s="20">
        <f t="shared" si="0"/>
        <v>0</v>
      </c>
      <c r="I21" s="165">
        <v>2</v>
      </c>
      <c r="J21" s="20">
        <f t="shared" si="4"/>
        <v>1.8</v>
      </c>
      <c r="L21" s="16" t="s">
        <v>26</v>
      </c>
      <c r="M21" s="194">
        <v>0.9</v>
      </c>
      <c r="N21" s="165">
        <v>0</v>
      </c>
      <c r="O21" s="194">
        <f t="shared" si="5"/>
        <v>0</v>
      </c>
      <c r="P21" s="165">
        <v>0</v>
      </c>
      <c r="Q21" s="194">
        <f t="shared" si="6"/>
        <v>0</v>
      </c>
      <c r="R21" s="165">
        <v>0</v>
      </c>
      <c r="S21" s="194">
        <f t="shared" si="1"/>
        <v>0</v>
      </c>
      <c r="T21" s="165">
        <v>0.1</v>
      </c>
      <c r="U21" s="194">
        <f t="shared" si="7"/>
        <v>9.0000000000000011E-2</v>
      </c>
      <c r="V21" s="165">
        <v>0</v>
      </c>
      <c r="W21" s="194">
        <f t="shared" si="8"/>
        <v>0</v>
      </c>
      <c r="Y21" s="16" t="s">
        <v>26</v>
      </c>
      <c r="Z21" s="194">
        <v>0.9</v>
      </c>
      <c r="AA21" s="165">
        <v>0</v>
      </c>
      <c r="AB21" s="20">
        <f t="shared" si="9"/>
        <v>0</v>
      </c>
    </row>
    <row r="22" spans="1:28" x14ac:dyDescent="0.25">
      <c r="A22" s="16" t="s">
        <v>188</v>
      </c>
      <c r="B22" s="194">
        <v>2</v>
      </c>
      <c r="C22" s="165">
        <v>1</v>
      </c>
      <c r="D22" s="20">
        <f t="shared" si="2"/>
        <v>2</v>
      </c>
      <c r="E22" s="165">
        <v>1</v>
      </c>
      <c r="F22" s="20">
        <f t="shared" si="3"/>
        <v>2</v>
      </c>
      <c r="G22" s="165">
        <v>1</v>
      </c>
      <c r="H22" s="20">
        <f t="shared" si="0"/>
        <v>2</v>
      </c>
      <c r="I22" s="165">
        <v>1</v>
      </c>
      <c r="J22" s="20">
        <f t="shared" si="4"/>
        <v>2</v>
      </c>
      <c r="L22" s="16" t="s">
        <v>188</v>
      </c>
      <c r="M22" s="194">
        <v>2</v>
      </c>
      <c r="N22" s="165">
        <v>1</v>
      </c>
      <c r="O22" s="194">
        <f t="shared" si="5"/>
        <v>2</v>
      </c>
      <c r="P22" s="165">
        <v>1</v>
      </c>
      <c r="Q22" s="194">
        <f t="shared" si="6"/>
        <v>2</v>
      </c>
      <c r="R22" s="165">
        <v>1</v>
      </c>
      <c r="S22" s="194">
        <f t="shared" si="1"/>
        <v>2</v>
      </c>
      <c r="T22" s="165">
        <v>1</v>
      </c>
      <c r="U22" s="194">
        <f t="shared" si="7"/>
        <v>2</v>
      </c>
      <c r="V22" s="165">
        <v>0.5</v>
      </c>
      <c r="W22" s="194">
        <f t="shared" si="8"/>
        <v>1</v>
      </c>
      <c r="Y22" s="16" t="s">
        <v>188</v>
      </c>
      <c r="Z22" s="194">
        <v>2</v>
      </c>
      <c r="AA22" s="165">
        <v>1</v>
      </c>
      <c r="AB22" s="20">
        <f t="shared" si="9"/>
        <v>2</v>
      </c>
    </row>
    <row r="23" spans="1:28" x14ac:dyDescent="0.25">
      <c r="A23" s="192" t="s">
        <v>197</v>
      </c>
      <c r="B23" s="260">
        <v>2.35</v>
      </c>
      <c r="C23" s="190">
        <v>1</v>
      </c>
      <c r="D23" s="260">
        <f t="shared" si="2"/>
        <v>2.35</v>
      </c>
      <c r="E23" s="190">
        <v>1</v>
      </c>
      <c r="F23" s="260">
        <f t="shared" si="3"/>
        <v>2.35</v>
      </c>
      <c r="G23" s="190">
        <v>1</v>
      </c>
      <c r="H23" s="260">
        <f t="shared" si="0"/>
        <v>2.35</v>
      </c>
      <c r="I23" s="190">
        <v>1</v>
      </c>
      <c r="J23" s="260">
        <f t="shared" si="4"/>
        <v>2.35</v>
      </c>
      <c r="L23" s="192" t="s">
        <v>73</v>
      </c>
      <c r="M23" s="260">
        <v>2.35</v>
      </c>
      <c r="N23" s="190">
        <v>0</v>
      </c>
      <c r="O23" s="260">
        <f t="shared" si="5"/>
        <v>0</v>
      </c>
      <c r="P23" s="190">
        <v>0</v>
      </c>
      <c r="Q23" s="260">
        <f t="shared" si="6"/>
        <v>0</v>
      </c>
      <c r="R23" s="190">
        <v>0</v>
      </c>
      <c r="S23" s="260">
        <f t="shared" si="1"/>
        <v>0</v>
      </c>
      <c r="T23" s="190">
        <v>0</v>
      </c>
      <c r="U23" s="260">
        <f t="shared" si="7"/>
        <v>0</v>
      </c>
      <c r="V23" s="190">
        <v>1</v>
      </c>
      <c r="W23" s="260">
        <f t="shared" si="8"/>
        <v>2.35</v>
      </c>
      <c r="Y23" s="192" t="s">
        <v>73</v>
      </c>
      <c r="Z23" s="260">
        <v>2.35</v>
      </c>
      <c r="AA23" s="190">
        <v>1</v>
      </c>
      <c r="AB23" s="260">
        <f t="shared" si="9"/>
        <v>2.35</v>
      </c>
    </row>
    <row r="24" spans="1:28" x14ac:dyDescent="0.25">
      <c r="A24" s="16" t="s">
        <v>74</v>
      </c>
      <c r="B24" s="194">
        <v>2.5</v>
      </c>
      <c r="C24" s="165">
        <v>1</v>
      </c>
      <c r="D24" s="20">
        <f t="shared" si="2"/>
        <v>2.5</v>
      </c>
      <c r="E24" s="165">
        <v>1</v>
      </c>
      <c r="F24" s="20">
        <f t="shared" si="3"/>
        <v>2.5</v>
      </c>
      <c r="G24" s="165">
        <v>1</v>
      </c>
      <c r="H24" s="20">
        <f t="shared" si="0"/>
        <v>2.5</v>
      </c>
      <c r="I24" s="165">
        <v>1</v>
      </c>
      <c r="J24" s="20">
        <f t="shared" si="4"/>
        <v>2.5</v>
      </c>
      <c r="L24" s="16" t="s">
        <v>74</v>
      </c>
      <c r="M24" s="194">
        <v>2.5</v>
      </c>
      <c r="N24" s="165">
        <v>0</v>
      </c>
      <c r="O24" s="194">
        <f t="shared" si="5"/>
        <v>0</v>
      </c>
      <c r="P24" s="165">
        <v>0</v>
      </c>
      <c r="Q24" s="194">
        <f t="shared" si="6"/>
        <v>0</v>
      </c>
      <c r="R24" s="165">
        <v>0</v>
      </c>
      <c r="S24" s="194">
        <f t="shared" si="1"/>
        <v>0</v>
      </c>
      <c r="T24" s="165">
        <v>0</v>
      </c>
      <c r="U24" s="194">
        <f t="shared" si="7"/>
        <v>0</v>
      </c>
      <c r="V24" s="165">
        <v>1</v>
      </c>
      <c r="W24" s="194">
        <f t="shared" si="8"/>
        <v>2.5</v>
      </c>
      <c r="Y24" s="16" t="s">
        <v>74</v>
      </c>
      <c r="Z24" s="194">
        <v>2.5</v>
      </c>
      <c r="AA24" s="165">
        <v>1</v>
      </c>
      <c r="AB24" s="20">
        <f t="shared" si="9"/>
        <v>2.5</v>
      </c>
    </row>
    <row r="25" spans="1:28" x14ac:dyDescent="0.25">
      <c r="A25" s="214" t="s">
        <v>68</v>
      </c>
      <c r="B25" s="215"/>
      <c r="C25" s="50"/>
      <c r="D25" s="261">
        <f>SUM(D3:D24)</f>
        <v>24.88</v>
      </c>
      <c r="E25" s="49"/>
      <c r="F25" s="261">
        <f>SUM(F3:F24)</f>
        <v>56.13</v>
      </c>
      <c r="G25" s="49"/>
      <c r="H25" s="261">
        <f>SUM(H3:H24)</f>
        <v>39.642499999999998</v>
      </c>
      <c r="I25" s="49"/>
      <c r="J25" s="261">
        <f>SUM(J3:J24)</f>
        <v>66.772999999999996</v>
      </c>
      <c r="L25" s="214" t="s">
        <v>68</v>
      </c>
      <c r="M25" s="215"/>
      <c r="N25" s="50"/>
      <c r="O25" s="261">
        <f>SUM(O3:O24)</f>
        <v>18.95</v>
      </c>
      <c r="P25" s="50"/>
      <c r="Q25" s="261">
        <f>SUM(Q3:Q24)</f>
        <v>19.600000000000001</v>
      </c>
      <c r="R25" s="50"/>
      <c r="S25" s="261">
        <f>SUM(S3:S24)</f>
        <v>20.860000000000003</v>
      </c>
      <c r="T25" s="49"/>
      <c r="U25" s="261">
        <f>SUM(U3:U24)</f>
        <v>29.597000000000001</v>
      </c>
      <c r="V25" s="50"/>
      <c r="W25" s="261">
        <f>SUM(W3:W24)</f>
        <v>7.6470000000000002</v>
      </c>
      <c r="Y25" s="214" t="s">
        <v>68</v>
      </c>
      <c r="Z25" s="215"/>
      <c r="AA25" s="50"/>
      <c r="AB25" s="261">
        <f>SUM(AB3:AB24)</f>
        <v>105.38</v>
      </c>
    </row>
    <row r="26" spans="1:28" x14ac:dyDescent="0.25">
      <c r="A26" s="17" t="s">
        <v>69</v>
      </c>
      <c r="B26" s="52">
        <v>0.05</v>
      </c>
      <c r="C26" s="26"/>
      <c r="D26" s="194">
        <f>+$B26*D25</f>
        <v>1.244</v>
      </c>
      <c r="E26" s="26"/>
      <c r="F26" s="194">
        <f>+$B26*F25</f>
        <v>2.8065000000000002</v>
      </c>
      <c r="G26" s="26"/>
      <c r="H26" s="194">
        <f>+$B26*H25</f>
        <v>1.9821249999999999</v>
      </c>
      <c r="I26" s="26"/>
      <c r="J26" s="194">
        <f>+$B26*J25</f>
        <v>3.3386499999999999</v>
      </c>
      <c r="L26" s="17" t="s">
        <v>69</v>
      </c>
      <c r="M26" s="52">
        <v>0.05</v>
      </c>
      <c r="N26" s="26"/>
      <c r="O26" s="194">
        <f>+$B26*O25</f>
        <v>0.94750000000000001</v>
      </c>
      <c r="P26" s="52"/>
      <c r="Q26" s="194">
        <f>+$B26*Q25</f>
        <v>0.98000000000000009</v>
      </c>
      <c r="S26" s="194">
        <f>+$B26*S25</f>
        <v>1.0430000000000001</v>
      </c>
      <c r="T26" s="52"/>
      <c r="U26" s="194">
        <f>+$B26*U25</f>
        <v>1.4798500000000001</v>
      </c>
      <c r="V26" s="26"/>
      <c r="W26" s="194">
        <f>+$B26*W25</f>
        <v>0.38235000000000002</v>
      </c>
      <c r="Y26" s="17" t="s">
        <v>69</v>
      </c>
      <c r="Z26" s="52">
        <v>0.05</v>
      </c>
      <c r="AA26" s="26"/>
      <c r="AB26" s="194">
        <f>+$B26*AB25</f>
        <v>5.2690000000000001</v>
      </c>
    </row>
    <row r="27" spans="1:28" x14ac:dyDescent="0.25">
      <c r="A27" s="17" t="s">
        <v>16</v>
      </c>
      <c r="B27" s="52">
        <v>0.1</v>
      </c>
      <c r="C27" s="26"/>
      <c r="D27" s="194">
        <f>+$B27*(D25+D26)</f>
        <v>2.6124000000000001</v>
      </c>
      <c r="E27" s="26"/>
      <c r="F27" s="194">
        <f>+$B27*(F25+F26)</f>
        <v>5.8936500000000009</v>
      </c>
      <c r="G27" s="26"/>
      <c r="H27" s="194">
        <f>+$B27*(H25+H26)</f>
        <v>4.1624624999999993</v>
      </c>
      <c r="I27" s="26"/>
      <c r="J27" s="194">
        <f>+$B27*(J25+J26)</f>
        <v>7.0111650000000001</v>
      </c>
      <c r="L27" s="17" t="s">
        <v>16</v>
      </c>
      <c r="M27" s="52">
        <v>0.1</v>
      </c>
      <c r="N27" s="26"/>
      <c r="O27" s="194">
        <f>+$B27*O26</f>
        <v>9.4750000000000001E-2</v>
      </c>
      <c r="P27" s="52"/>
      <c r="Q27" s="194">
        <f>+$B27*Q26</f>
        <v>9.8000000000000018E-2</v>
      </c>
      <c r="S27" s="194">
        <f>+$B27*S26</f>
        <v>0.10430000000000002</v>
      </c>
      <c r="T27" s="52"/>
      <c r="U27" s="194">
        <f>+$B27*U26</f>
        <v>0.14798500000000001</v>
      </c>
      <c r="V27" s="26"/>
      <c r="W27" s="194">
        <f>+$B27*W26</f>
        <v>3.8235000000000005E-2</v>
      </c>
      <c r="Y27" s="17" t="s">
        <v>16</v>
      </c>
      <c r="Z27" s="52">
        <v>0.1</v>
      </c>
      <c r="AA27" s="26"/>
      <c r="AB27" s="194">
        <f>+$B27*(AB25+AB26)</f>
        <v>11.064900000000002</v>
      </c>
    </row>
    <row r="28" spans="1:28" x14ac:dyDescent="0.25">
      <c r="A28" s="198" t="s">
        <v>38</v>
      </c>
      <c r="B28" s="199"/>
      <c r="C28" s="51"/>
      <c r="D28" s="193">
        <f>SUM(D25:D27)</f>
        <v>28.7364</v>
      </c>
      <c r="E28" s="27"/>
      <c r="F28" s="193">
        <f>SUM(F25:F27)</f>
        <v>64.830150000000003</v>
      </c>
      <c r="G28" s="27"/>
      <c r="H28" s="193">
        <f>SUM(H25:H27)</f>
        <v>45.787087499999991</v>
      </c>
      <c r="I28" s="27"/>
      <c r="J28" s="193">
        <f>SUM(J25:J27)</f>
        <v>77.122815000000003</v>
      </c>
      <c r="L28" s="198" t="s">
        <v>194</v>
      </c>
      <c r="M28" s="199"/>
      <c r="N28" s="51"/>
      <c r="O28" s="193">
        <f>SUM(O25:O27)</f>
        <v>19.992250000000002</v>
      </c>
      <c r="P28" s="27"/>
      <c r="Q28" s="193">
        <f>SUM(Q25:Q27)</f>
        <v>20.678000000000001</v>
      </c>
      <c r="R28" s="27"/>
      <c r="S28" s="193">
        <f>SUM(S25:S27)</f>
        <v>22.007300000000001</v>
      </c>
      <c r="T28" s="27"/>
      <c r="U28" s="193">
        <f>SUM(U25:U27)</f>
        <v>31.224834999999999</v>
      </c>
      <c r="V28" s="27"/>
      <c r="W28" s="193">
        <f>SUM(W25:W27)</f>
        <v>8.0675850000000011</v>
      </c>
      <c r="Y28" s="198" t="s">
        <v>38</v>
      </c>
      <c r="Z28" s="199"/>
      <c r="AA28" s="80"/>
      <c r="AB28" s="193">
        <f>SUM(AB25:AB27)</f>
        <v>121.7139</v>
      </c>
    </row>
    <row r="29" spans="1:28" ht="10.5" customHeight="1" x14ac:dyDescent="0.25"/>
    <row r="30" spans="1:28" x14ac:dyDescent="0.25">
      <c r="A30" s="212"/>
      <c r="B30" s="213"/>
      <c r="C30" s="207" t="s">
        <v>65</v>
      </c>
      <c r="D30" s="207"/>
      <c r="E30" s="207" t="s">
        <v>64</v>
      </c>
      <c r="F30" s="207"/>
      <c r="G30" s="207" t="s">
        <v>59</v>
      </c>
      <c r="H30" s="207"/>
      <c r="I30" s="207" t="s">
        <v>58</v>
      </c>
      <c r="J30" s="207"/>
    </row>
    <row r="31" spans="1:28" x14ac:dyDescent="0.25">
      <c r="A31" s="212"/>
      <c r="B31" s="213"/>
      <c r="C31" s="208">
        <f>+D28</f>
        <v>28.7364</v>
      </c>
      <c r="D31" s="209"/>
      <c r="E31" s="210">
        <f>+F28</f>
        <v>64.830150000000003</v>
      </c>
      <c r="F31" s="211"/>
      <c r="G31" s="210">
        <f>+H28</f>
        <v>45.787087499999991</v>
      </c>
      <c r="H31" s="211"/>
      <c r="I31" s="210">
        <f>+J28</f>
        <v>77.122815000000003</v>
      </c>
      <c r="J31" s="211"/>
    </row>
  </sheetData>
  <mergeCells count="32">
    <mergeCell ref="Y28:Z28"/>
    <mergeCell ref="Y1:Y2"/>
    <mergeCell ref="Z1:Z2"/>
    <mergeCell ref="AA1:AB1"/>
    <mergeCell ref="Y25:Z25"/>
    <mergeCell ref="T1:U1"/>
    <mergeCell ref="R1:S1"/>
    <mergeCell ref="V1:W1"/>
    <mergeCell ref="A25:B25"/>
    <mergeCell ref="N1:O1"/>
    <mergeCell ref="P1:Q1"/>
    <mergeCell ref="A28:B28"/>
    <mergeCell ref="L25:M25"/>
    <mergeCell ref="L28:M28"/>
    <mergeCell ref="G1:H1"/>
    <mergeCell ref="L1:L2"/>
    <mergeCell ref="M1:M2"/>
    <mergeCell ref="A1:A2"/>
    <mergeCell ref="B1:B2"/>
    <mergeCell ref="C1:D1"/>
    <mergeCell ref="E1:F1"/>
    <mergeCell ref="I1:J1"/>
    <mergeCell ref="A30:A31"/>
    <mergeCell ref="B30:B31"/>
    <mergeCell ref="C30:D30"/>
    <mergeCell ref="E30:F30"/>
    <mergeCell ref="G30:H30"/>
    <mergeCell ref="I30:J30"/>
    <mergeCell ref="C31:D31"/>
    <mergeCell ref="E31:F31"/>
    <mergeCell ref="G31:H31"/>
    <mergeCell ref="I31:J31"/>
  </mergeCells>
  <pageMargins left="0.7" right="0.7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2"/>
  <sheetViews>
    <sheetView zoomScaleNormal="100" workbookViewId="0">
      <selection activeCell="K24" sqref="K24"/>
    </sheetView>
  </sheetViews>
  <sheetFormatPr baseColWidth="10" defaultColWidth="11.5546875" defaultRowHeight="13.8" x14ac:dyDescent="0.25"/>
  <cols>
    <col min="1" max="1" width="22.88671875" style="14" customWidth="1"/>
    <col min="2" max="2" width="15.88671875" style="15" customWidth="1"/>
    <col min="3" max="4" width="10" style="14" customWidth="1"/>
    <col min="5" max="6" width="9.88671875" style="14" customWidth="1"/>
    <col min="7" max="7" width="11.44140625" style="14" customWidth="1"/>
    <col min="8" max="8" width="10" style="14" customWidth="1"/>
    <col min="9" max="9" width="10.109375" style="14" customWidth="1"/>
    <col min="10" max="11" width="9.88671875" style="14" customWidth="1"/>
    <col min="12" max="12" width="9.88671875" customWidth="1"/>
    <col min="13" max="15" width="9.6640625" style="14" customWidth="1"/>
    <col min="16" max="16" width="9.88671875" style="14" customWidth="1"/>
    <col min="17" max="17" width="9.6640625" style="14" customWidth="1"/>
    <col min="18" max="18" width="9.88671875" style="14" customWidth="1"/>
    <col min="19" max="16384" width="11.5546875" style="14"/>
  </cols>
  <sheetData>
    <row r="1" spans="1:12" ht="15" customHeight="1" x14ac:dyDescent="0.25"/>
    <row r="2" spans="1:12" ht="41.4" x14ac:dyDescent="0.25">
      <c r="A2" s="27" t="s">
        <v>37</v>
      </c>
      <c r="B2" s="27" t="s">
        <v>63</v>
      </c>
      <c r="C2" s="29" t="s">
        <v>57</v>
      </c>
      <c r="D2" s="29" t="s">
        <v>64</v>
      </c>
      <c r="E2" s="29" t="s">
        <v>59</v>
      </c>
      <c r="F2" s="29" t="s">
        <v>58</v>
      </c>
      <c r="G2" s="29" t="s">
        <v>32</v>
      </c>
      <c r="H2" s="59" t="s">
        <v>60</v>
      </c>
      <c r="I2" s="76" t="s">
        <v>82</v>
      </c>
      <c r="J2" s="76" t="s">
        <v>61</v>
      </c>
      <c r="K2" s="76" t="s">
        <v>62</v>
      </c>
      <c r="L2" s="81" t="s">
        <v>88</v>
      </c>
    </row>
    <row r="3" spans="1:12" x14ac:dyDescent="0.25">
      <c r="A3" s="231" t="s">
        <v>200</v>
      </c>
      <c r="B3" s="179" t="s">
        <v>8</v>
      </c>
      <c r="C3" s="60">
        <f>+'Techniciens &amp; Véhicule'!$B$32</f>
        <v>20</v>
      </c>
      <c r="D3" s="60">
        <f>+'Techniciens &amp; Véhicule'!$B$32</f>
        <v>20</v>
      </c>
      <c r="E3" s="60">
        <f>+'Techniciens &amp; Véhicule'!$B$32</f>
        <v>20</v>
      </c>
      <c r="F3" s="60">
        <f>+'Techniciens &amp; Véhicule'!$B$32</f>
        <v>20</v>
      </c>
      <c r="G3" s="60">
        <f>+'Techniciens &amp; Véhicule'!$B$32</f>
        <v>20</v>
      </c>
      <c r="H3" s="60">
        <v>0</v>
      </c>
      <c r="I3" s="60">
        <v>0</v>
      </c>
      <c r="J3" s="60">
        <v>0</v>
      </c>
      <c r="K3" s="60">
        <v>0</v>
      </c>
      <c r="L3" s="60">
        <v>20</v>
      </c>
    </row>
    <row r="4" spans="1:12" x14ac:dyDescent="0.25">
      <c r="A4" s="230"/>
      <c r="B4" s="179" t="s">
        <v>54</v>
      </c>
      <c r="C4" s="64">
        <f>'Techniciens &amp; Véhicule'!B32*'Techniciens &amp; Véhicule'!C31</f>
        <v>7.8000000000000007</v>
      </c>
      <c r="D4" s="64">
        <f>'Techniciens &amp; Véhicule'!B32*'Techniciens &amp; Véhicule'!C31</f>
        <v>7.8000000000000007</v>
      </c>
      <c r="E4" s="64">
        <f>'Techniciens &amp; Véhicule'!B32*'Techniciens &amp; Véhicule'!C31</f>
        <v>7.8000000000000007</v>
      </c>
      <c r="F4" s="64">
        <f>'Techniciens &amp; Véhicule'!B32*'Techniciens &amp; Véhicule'!C31</f>
        <v>7.8000000000000007</v>
      </c>
      <c r="G4" s="64">
        <f>SUM('Techniciens &amp; Véhicule'!$D$36)</f>
        <v>36.371428571428574</v>
      </c>
      <c r="H4" s="61">
        <v>0</v>
      </c>
      <c r="I4" s="61">
        <v>0</v>
      </c>
      <c r="J4" s="61">
        <v>0</v>
      </c>
      <c r="K4" s="61">
        <v>0</v>
      </c>
      <c r="L4" s="64">
        <v>7.8</v>
      </c>
    </row>
    <row r="5" spans="1:12" s="15" customFormat="1" x14ac:dyDescent="0.25">
      <c r="A5" s="230"/>
      <c r="B5" s="179" t="s">
        <v>85</v>
      </c>
      <c r="C5" s="179"/>
      <c r="D5" s="179"/>
      <c r="E5" s="44">
        <v>52.73</v>
      </c>
      <c r="F5" s="44">
        <v>58.81</v>
      </c>
      <c r="G5" s="179"/>
      <c r="H5" s="179"/>
      <c r="I5" s="179"/>
      <c r="J5" s="179"/>
      <c r="K5" s="179"/>
      <c r="L5" s="179"/>
    </row>
    <row r="6" spans="1:12" x14ac:dyDescent="0.25">
      <c r="A6" s="231" t="s">
        <v>201</v>
      </c>
      <c r="B6" s="179" t="s">
        <v>97</v>
      </c>
      <c r="C6" s="62">
        <f>+'Étapes &amp; Durée'!B20</f>
        <v>122</v>
      </c>
      <c r="D6" s="62">
        <f>+'Étapes &amp; Durée'!C20</f>
        <v>123</v>
      </c>
      <c r="E6" s="62">
        <f>+'Étapes &amp; Durée'!D20</f>
        <v>142</v>
      </c>
      <c r="F6" s="62">
        <f>+'Étapes &amp; Durée'!E20</f>
        <v>157</v>
      </c>
      <c r="G6" s="62">
        <f>SUM('Étapes &amp; Durée'!J7)</f>
        <v>33</v>
      </c>
      <c r="H6" s="62">
        <f>SUM('Étapes &amp; Durée'!F16)</f>
        <v>30</v>
      </c>
      <c r="I6" s="62">
        <f>SUM('Étapes &amp; Durée'!F16)</f>
        <v>30</v>
      </c>
      <c r="J6" s="62">
        <f>SUM('Étapes &amp; Durée'!F16)</f>
        <v>30</v>
      </c>
      <c r="K6" s="62">
        <f>SUM('Étapes &amp; Durée'!F16)</f>
        <v>30</v>
      </c>
      <c r="L6" s="62">
        <f>+'Étapes &amp; Durée'!G20</f>
        <v>189</v>
      </c>
    </row>
    <row r="7" spans="1:12" x14ac:dyDescent="0.25">
      <c r="A7" s="230"/>
      <c r="B7" s="179" t="s">
        <v>96</v>
      </c>
      <c r="C7" s="60">
        <v>1</v>
      </c>
      <c r="D7" s="60">
        <v>2</v>
      </c>
      <c r="E7" s="60">
        <v>2</v>
      </c>
      <c r="F7" s="60">
        <v>2</v>
      </c>
      <c r="G7" s="60">
        <v>1</v>
      </c>
      <c r="H7" s="60">
        <v>1</v>
      </c>
      <c r="I7" s="60">
        <v>2</v>
      </c>
      <c r="J7" s="60">
        <v>2</v>
      </c>
      <c r="K7" s="60">
        <v>2</v>
      </c>
      <c r="L7" s="112">
        <v>2</v>
      </c>
    </row>
    <row r="8" spans="1:12" x14ac:dyDescent="0.25">
      <c r="A8" s="230"/>
      <c r="B8" s="179" t="s">
        <v>95</v>
      </c>
      <c r="C8" s="62">
        <f>'Étapes &amp; Durée'!B21</f>
        <v>102</v>
      </c>
      <c r="D8" s="62">
        <f>'Étapes &amp; Durée'!C21</f>
        <v>226</v>
      </c>
      <c r="E8" s="62">
        <f>'Étapes &amp; Durée'!D21</f>
        <v>264</v>
      </c>
      <c r="F8" s="62">
        <f>'Étapes &amp; Durée'!E21</f>
        <v>294</v>
      </c>
      <c r="G8" s="62">
        <f>+G6*G7</f>
        <v>33</v>
      </c>
      <c r="H8" s="62">
        <f>+H6*H7</f>
        <v>30</v>
      </c>
      <c r="I8" s="62">
        <f>+I6*I7</f>
        <v>60</v>
      </c>
      <c r="J8" s="62">
        <f>+J6*J7</f>
        <v>60</v>
      </c>
      <c r="K8" s="62">
        <f>+K6*K7</f>
        <v>60</v>
      </c>
      <c r="L8" s="62">
        <f>+'Étapes &amp; Durée'!G21</f>
        <v>378</v>
      </c>
    </row>
    <row r="9" spans="1:12" x14ac:dyDescent="0.25">
      <c r="A9" s="230"/>
      <c r="B9" s="179" t="s">
        <v>155</v>
      </c>
      <c r="C9" s="63">
        <f>+'Techniciens &amp; Véhicule'!D19</f>
        <v>50</v>
      </c>
      <c r="D9" s="63">
        <f>+C9</f>
        <v>50</v>
      </c>
      <c r="E9" s="63">
        <f>+C9</f>
        <v>50</v>
      </c>
      <c r="F9" s="63">
        <f>+C9</f>
        <v>50</v>
      </c>
      <c r="G9" s="63">
        <f>+'Techniciens &amp; Véhicule'!$D$19</f>
        <v>50</v>
      </c>
      <c r="H9" s="63">
        <f>+'Techniciens &amp; Véhicule'!$D$19</f>
        <v>50</v>
      </c>
      <c r="I9" s="63">
        <f>+'Techniciens &amp; Véhicule'!$D$19</f>
        <v>50</v>
      </c>
      <c r="J9" s="63">
        <f>+'Techniciens &amp; Véhicule'!$D$19</f>
        <v>50</v>
      </c>
      <c r="K9" s="63">
        <f>+'Techniciens &amp; Véhicule'!$D$19</f>
        <v>50</v>
      </c>
      <c r="L9" s="63">
        <f>+'Techniciens &amp; Véhicule'!$D$19</f>
        <v>50</v>
      </c>
    </row>
    <row r="10" spans="1:12" x14ac:dyDescent="0.25">
      <c r="A10" s="230"/>
      <c r="B10" s="179" t="s">
        <v>54</v>
      </c>
      <c r="C10" s="64">
        <f>+C8/60*C9</f>
        <v>85</v>
      </c>
      <c r="D10" s="64">
        <f>+D8/60*D9</f>
        <v>188.33333333333334</v>
      </c>
      <c r="E10" s="64">
        <f t="shared" ref="E10:L10" si="0">+E8/60*E9</f>
        <v>220.00000000000003</v>
      </c>
      <c r="F10" s="64">
        <f>+F8/60*F9</f>
        <v>245.00000000000003</v>
      </c>
      <c r="G10" s="64">
        <f t="shared" si="0"/>
        <v>27.500000000000004</v>
      </c>
      <c r="H10" s="64">
        <f t="shared" si="0"/>
        <v>25</v>
      </c>
      <c r="I10" s="64">
        <f t="shared" si="0"/>
        <v>50</v>
      </c>
      <c r="J10" s="64">
        <f t="shared" si="0"/>
        <v>50</v>
      </c>
      <c r="K10" s="64">
        <f t="shared" si="0"/>
        <v>50</v>
      </c>
      <c r="L10" s="64">
        <f t="shared" si="0"/>
        <v>315</v>
      </c>
    </row>
    <row r="11" spans="1:12" ht="16.95" customHeight="1" x14ac:dyDescent="0.25">
      <c r="A11" s="232" t="s">
        <v>156</v>
      </c>
      <c r="B11" s="232"/>
      <c r="C11" s="30">
        <f>+C4+C5+C10</f>
        <v>92.8</v>
      </c>
      <c r="D11" s="30">
        <f>+D4+D5+D10</f>
        <v>196.13333333333335</v>
      </c>
      <c r="E11" s="30">
        <f>+E4+E5+E10</f>
        <v>280.53000000000003</v>
      </c>
      <c r="F11" s="30">
        <f>+F4+F5+F10</f>
        <v>311.61</v>
      </c>
      <c r="G11" s="30">
        <f t="shared" ref="G11:L11" si="1">+G4+G10</f>
        <v>63.871428571428581</v>
      </c>
      <c r="H11" s="30">
        <f>+H4+H10</f>
        <v>25</v>
      </c>
      <c r="I11" s="30">
        <f t="shared" si="1"/>
        <v>50</v>
      </c>
      <c r="J11" s="30">
        <f t="shared" si="1"/>
        <v>50</v>
      </c>
      <c r="K11" s="30">
        <f t="shared" si="1"/>
        <v>50</v>
      </c>
      <c r="L11" s="30">
        <f t="shared" si="1"/>
        <v>322.8</v>
      </c>
    </row>
    <row r="12" spans="1:12" ht="27.6" x14ac:dyDescent="0.25">
      <c r="A12" s="91" t="s">
        <v>157</v>
      </c>
      <c r="B12" s="102">
        <v>20</v>
      </c>
      <c r="C12" s="44">
        <f>+($B$12/(100-$B$12))*('Techniciens &amp; Véhicule'!D36+(45/60)*C9*C7)</f>
        <v>18.467857142857142</v>
      </c>
      <c r="D12" s="44">
        <f>+($B$12/(100-$B$12))*('Techniciens &amp; Véhicule'!E36+(45/60)*D9*D7)</f>
        <v>34.985714285714288</v>
      </c>
      <c r="E12" s="44">
        <f>+($B$12/(100-$B$12))*('Techniciens &amp; Véhicule'!E36+(45/60)*E9*E7)</f>
        <v>34.985714285714288</v>
      </c>
      <c r="F12" s="44">
        <f>+($B$12/(100-$B$12))*('Techniciens &amp; Véhicule'!E36+(45/60)*F9*F7)</f>
        <v>34.985714285714288</v>
      </c>
      <c r="G12" s="44">
        <f>+($B$12/(100-$B$12))*(G4+(45/60)*G9)</f>
        <v>18.467857142857142</v>
      </c>
      <c r="H12" s="44">
        <v>0</v>
      </c>
      <c r="I12" s="44">
        <v>0</v>
      </c>
      <c r="J12" s="44">
        <v>0</v>
      </c>
      <c r="K12" s="44">
        <v>0</v>
      </c>
      <c r="L12" s="44">
        <f>+($B$12/(100-$B$12))*(L4+(45/60)*L9)</f>
        <v>11.324999999999999</v>
      </c>
    </row>
    <row r="13" spans="1:12" ht="16.95" customHeight="1" x14ac:dyDescent="0.25">
      <c r="A13" s="232" t="s">
        <v>80</v>
      </c>
      <c r="B13" s="232"/>
      <c r="C13" s="30">
        <f>+C11+C12</f>
        <v>111.26785714285714</v>
      </c>
      <c r="D13" s="30">
        <f>+D11+D12</f>
        <v>231.11904761904765</v>
      </c>
      <c r="E13" s="30">
        <f>+E11+E12</f>
        <v>315.5157142857143</v>
      </c>
      <c r="F13" s="30">
        <f>+F11+F12</f>
        <v>346.59571428571428</v>
      </c>
      <c r="G13" s="30">
        <f t="shared" ref="G13:K13" si="2">+G4+G10+G12</f>
        <v>82.339285714285722</v>
      </c>
      <c r="H13" s="30">
        <f t="shared" si="2"/>
        <v>25</v>
      </c>
      <c r="I13" s="30">
        <f t="shared" si="2"/>
        <v>50</v>
      </c>
      <c r="J13" s="30">
        <f t="shared" si="2"/>
        <v>50</v>
      </c>
      <c r="K13" s="30">
        <f t="shared" si="2"/>
        <v>50</v>
      </c>
      <c r="L13" s="30">
        <f>+L11+L12</f>
        <v>334.125</v>
      </c>
    </row>
    <row r="14" spans="1:12" x14ac:dyDescent="0.25">
      <c r="A14" s="2" t="s">
        <v>1</v>
      </c>
      <c r="B14" s="2" t="s">
        <v>54</v>
      </c>
      <c r="C14" s="64">
        <f>SUM(Matériel!D28-Matériel!D23)</f>
        <v>26.386399999999998</v>
      </c>
      <c r="D14" s="64">
        <f>SUM(Matériel!F28-Matériel!F23)</f>
        <v>62.480150000000002</v>
      </c>
      <c r="E14" s="64">
        <f>SUM(Matériel!H28-Matériel!H23)</f>
        <v>43.43708749999999</v>
      </c>
      <c r="F14" s="64">
        <f>SUM(Matériel!J28-Matériel!J23)</f>
        <v>74.772815000000008</v>
      </c>
      <c r="G14" s="64">
        <f>SUM(Matériel!W28)</f>
        <v>8.0675850000000011</v>
      </c>
      <c r="H14" s="64">
        <f>SUM(Matériel!O28)</f>
        <v>19.992250000000002</v>
      </c>
      <c r="I14" s="64">
        <f>SUM(Matériel!Q28)</f>
        <v>20.678000000000001</v>
      </c>
      <c r="J14" s="64">
        <f>SUM(Matériel!S28)</f>
        <v>22.007300000000001</v>
      </c>
      <c r="K14" s="64">
        <f>SUM(Matériel!U28)</f>
        <v>31.224834999999999</v>
      </c>
      <c r="L14" s="64">
        <f>+Matériel!AB28</f>
        <v>121.7139</v>
      </c>
    </row>
    <row r="15" spans="1:12" ht="19.95" customHeight="1" x14ac:dyDescent="0.25">
      <c r="A15" s="229" t="s">
        <v>187</v>
      </c>
      <c r="B15" s="229"/>
      <c r="C15" s="30">
        <f>+C13+C14</f>
        <v>137.65425714285715</v>
      </c>
      <c r="D15" s="30">
        <f t="shared" ref="D15:L15" si="3">+D13+D14</f>
        <v>293.59919761904763</v>
      </c>
      <c r="E15" s="30">
        <f t="shared" si="3"/>
        <v>358.95280178571431</v>
      </c>
      <c r="F15" s="30">
        <f t="shared" si="3"/>
        <v>421.36852928571432</v>
      </c>
      <c r="G15" s="30">
        <f t="shared" si="3"/>
        <v>90.406870714285731</v>
      </c>
      <c r="H15" s="30">
        <f t="shared" si="3"/>
        <v>44.992249999999999</v>
      </c>
      <c r="I15" s="30">
        <f t="shared" si="3"/>
        <v>70.677999999999997</v>
      </c>
      <c r="J15" s="30">
        <f t="shared" si="3"/>
        <v>72.007300000000001</v>
      </c>
      <c r="K15" s="30">
        <f t="shared" si="3"/>
        <v>81.224834999999999</v>
      </c>
      <c r="L15" s="30">
        <f t="shared" si="3"/>
        <v>455.83889999999997</v>
      </c>
    </row>
    <row r="16" spans="1:12" ht="6" customHeight="1" x14ac:dyDescent="0.25">
      <c r="A16" s="103"/>
      <c r="B16" s="104"/>
      <c r="C16" s="103"/>
      <c r="D16" s="103"/>
      <c r="E16" s="103"/>
      <c r="F16" s="103"/>
      <c r="G16" s="19"/>
      <c r="H16" s="19"/>
      <c r="I16" s="19"/>
      <c r="J16" s="19"/>
      <c r="K16" s="19"/>
    </row>
    <row r="17" spans="1:12" s="58" customFormat="1" ht="25.95" customHeight="1" x14ac:dyDescent="0.25">
      <c r="A17" s="227" t="s">
        <v>98</v>
      </c>
      <c r="B17" s="228"/>
      <c r="C17" s="65">
        <f>'Étapes &amp; Durée'!B22</f>
        <v>3.442622950819672</v>
      </c>
      <c r="D17" s="65">
        <f>'Étapes &amp; Durée'!C22</f>
        <v>3.4146341463414633</v>
      </c>
      <c r="E17" s="65">
        <f>'Étapes &amp; Durée'!D22</f>
        <v>2.9577464788732395</v>
      </c>
      <c r="F17" s="65">
        <f>'Étapes &amp; Durée'!E22</f>
        <v>2.6751592356687897</v>
      </c>
      <c r="G17" s="65">
        <f>+ROUNDDOWN((7*60)/(G6),1)</f>
        <v>12.7</v>
      </c>
      <c r="H17" s="57"/>
      <c r="I17" s="57"/>
      <c r="J17" s="57"/>
      <c r="K17" s="57"/>
      <c r="L17" s="65">
        <f>+ROUNDDOWN((7*60)/(L6),1)</f>
        <v>2.2000000000000002</v>
      </c>
    </row>
    <row r="18" spans="1:12" ht="7.5" customHeight="1" x14ac:dyDescent="0.25">
      <c r="A18" s="103"/>
      <c r="B18" s="104"/>
      <c r="C18" s="103"/>
      <c r="D18" s="103"/>
      <c r="E18" s="103"/>
      <c r="F18" s="103"/>
      <c r="G18" s="103"/>
    </row>
    <row r="19" spans="1:12" ht="25.95" customHeight="1" x14ac:dyDescent="0.25">
      <c r="A19" s="227" t="s">
        <v>99</v>
      </c>
      <c r="B19" s="228"/>
      <c r="C19" s="65">
        <f>'Étapes &amp; Durée'!B23</f>
        <v>2.7540983606557377</v>
      </c>
      <c r="D19" s="65">
        <f>'Étapes &amp; Durée'!C23</f>
        <v>2.7317073170731709</v>
      </c>
      <c r="E19" s="65">
        <f>'Étapes &amp; Durée'!D23</f>
        <v>2.3661971830985915</v>
      </c>
      <c r="F19" s="65">
        <f>'Étapes &amp; Durée'!E23</f>
        <v>2.1401273885350318</v>
      </c>
      <c r="G19" s="65">
        <f>+G17*(1-($B$12/100))</f>
        <v>10.16</v>
      </c>
      <c r="L19" s="65">
        <f>+L17*(1-($B$12/100))</f>
        <v>1.7600000000000002</v>
      </c>
    </row>
    <row r="20" spans="1:12" ht="7.5" customHeight="1" x14ac:dyDescent="0.25">
      <c r="A20" s="103"/>
      <c r="B20" s="104"/>
      <c r="C20" s="103"/>
      <c r="D20" s="103"/>
      <c r="E20" s="103"/>
      <c r="F20" s="103"/>
      <c r="G20" s="19"/>
      <c r="H20" s="19"/>
      <c r="L20" s="153"/>
    </row>
    <row r="21" spans="1:12" x14ac:dyDescent="0.25">
      <c r="A21" s="227" t="s">
        <v>136</v>
      </c>
      <c r="B21" s="228"/>
      <c r="C21" s="125">
        <f>+C15/$C15</f>
        <v>1</v>
      </c>
      <c r="D21" s="125">
        <f>+D15/$C15</f>
        <v>2.1328740840492229</v>
      </c>
      <c r="E21" s="125">
        <f>+E15/$C15</f>
        <v>2.6076403972976605</v>
      </c>
      <c r="F21" s="125">
        <f>+F15/$C15</f>
        <v>3.061064278225841</v>
      </c>
    </row>
    <row r="22" spans="1:12" x14ac:dyDescent="0.25">
      <c r="C22" s="15"/>
      <c r="D22" s="15"/>
      <c r="E22" s="15"/>
      <c r="F22" s="15"/>
      <c r="G22" s="15"/>
    </row>
    <row r="23" spans="1:12" x14ac:dyDescent="0.25">
      <c r="C23" s="105" t="s">
        <v>57</v>
      </c>
      <c r="D23" s="105" t="s">
        <v>64</v>
      </c>
      <c r="E23" s="105" t="s">
        <v>59</v>
      </c>
      <c r="F23" s="105" t="s">
        <v>58</v>
      </c>
    </row>
    <row r="24" spans="1:12" x14ac:dyDescent="0.25">
      <c r="B24" s="179" t="s">
        <v>0</v>
      </c>
      <c r="C24" s="64">
        <f>+C4</f>
        <v>7.8000000000000007</v>
      </c>
      <c r="D24" s="64">
        <f>+D4</f>
        <v>7.8000000000000007</v>
      </c>
      <c r="E24" s="64">
        <f>+E4</f>
        <v>7.8000000000000007</v>
      </c>
      <c r="F24" s="64">
        <f>+F4</f>
        <v>7.8000000000000007</v>
      </c>
    </row>
    <row r="25" spans="1:12" x14ac:dyDescent="0.25">
      <c r="B25" s="179" t="s">
        <v>85</v>
      </c>
      <c r="C25" s="64"/>
      <c r="D25" s="64"/>
      <c r="E25" s="64">
        <f>+E5</f>
        <v>52.73</v>
      </c>
      <c r="F25" s="64">
        <f>+F5</f>
        <v>58.81</v>
      </c>
    </row>
    <row r="26" spans="1:12" x14ac:dyDescent="0.25">
      <c r="B26" s="179" t="s">
        <v>92</v>
      </c>
      <c r="C26" s="64">
        <f>+C10</f>
        <v>85</v>
      </c>
      <c r="D26" s="64">
        <f>+D10</f>
        <v>188.33333333333334</v>
      </c>
      <c r="E26" s="64">
        <f>+E10</f>
        <v>220.00000000000003</v>
      </c>
      <c r="F26" s="64">
        <f>+F10</f>
        <v>245.00000000000003</v>
      </c>
    </row>
    <row r="27" spans="1:12" x14ac:dyDescent="0.25">
      <c r="B27" s="179" t="s">
        <v>158</v>
      </c>
      <c r="C27" s="48">
        <f>+C12</f>
        <v>18.467857142857142</v>
      </c>
      <c r="D27" s="48">
        <f>+D12</f>
        <v>34.985714285714288</v>
      </c>
      <c r="E27" s="48">
        <f>+E12</f>
        <v>34.985714285714288</v>
      </c>
      <c r="F27" s="48">
        <f>+F12</f>
        <v>34.985714285714288</v>
      </c>
    </row>
    <row r="28" spans="1:12" x14ac:dyDescent="0.25">
      <c r="B28" s="179" t="s">
        <v>100</v>
      </c>
      <c r="C28" s="48">
        <f>+C14</f>
        <v>26.386399999999998</v>
      </c>
      <c r="D28" s="48">
        <f>+D14</f>
        <v>62.480150000000002</v>
      </c>
      <c r="E28" s="48">
        <f>+E14</f>
        <v>43.43708749999999</v>
      </c>
      <c r="F28" s="48">
        <f>+F14</f>
        <v>74.772815000000008</v>
      </c>
      <c r="L28" s="191"/>
    </row>
    <row r="29" spans="1:12" x14ac:dyDescent="0.25">
      <c r="C29" s="21"/>
      <c r="D29" s="21"/>
      <c r="E29" s="21"/>
      <c r="F29" s="21"/>
      <c r="L29" s="14"/>
    </row>
    <row r="30" spans="1:12" x14ac:dyDescent="0.25">
      <c r="L30" s="14"/>
    </row>
    <row r="31" spans="1:12" x14ac:dyDescent="0.25">
      <c r="L31" s="14"/>
    </row>
    <row r="32" spans="1:12" x14ac:dyDescent="0.25">
      <c r="L32" s="14"/>
    </row>
  </sheetData>
  <mergeCells count="8">
    <mergeCell ref="A21:B21"/>
    <mergeCell ref="A19:B19"/>
    <mergeCell ref="A15:B15"/>
    <mergeCell ref="A17:B17"/>
    <mergeCell ref="A3:A5"/>
    <mergeCell ref="A6:A10"/>
    <mergeCell ref="A13:B13"/>
    <mergeCell ref="A11:B11"/>
  </mergeCells>
  <pageMargins left="0.7" right="0.7" top="0.75" bottom="0.75" header="0.3" footer="0.3"/>
  <pageSetup paperSize="9" scale="53" orientation="landscape" r:id="rId1"/>
  <ignoredErrors>
    <ignoredError sqref="K12 F18:I18 C18:D18 K18:K19 H12:I12 M12:N14 M17:N19 K9:M9 G14:L14 C9:I9 H3:I3 M3:N3 K3 H4 G7:I7 M5 K6:K7 E10 G8:K8 M10 G10:L10 G6:J6 C7:F7 C6:F6 H19:I19 C24:F26 M8 L6:L8 M7 M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5"/>
  <sheetViews>
    <sheetView topLeftCell="A13" workbookViewId="0">
      <selection activeCell="J13" sqref="J13"/>
    </sheetView>
  </sheetViews>
  <sheetFormatPr baseColWidth="10" defaultColWidth="11.5546875" defaultRowHeight="13.2" x14ac:dyDescent="0.25"/>
  <cols>
    <col min="1" max="1" width="12.109375" style="130" customWidth="1"/>
    <col min="2" max="2" width="12.88671875" style="130" customWidth="1"/>
    <col min="3" max="10" width="10" style="130" customWidth="1"/>
    <col min="11" max="13" width="8.33203125" style="130" customWidth="1"/>
    <col min="14" max="16384" width="11.5546875" style="130"/>
  </cols>
  <sheetData>
    <row r="1" spans="1:6" ht="30.6" x14ac:dyDescent="0.25">
      <c r="A1" s="129" t="s">
        <v>138</v>
      </c>
      <c r="B1" s="67" t="s">
        <v>137</v>
      </c>
      <c r="C1" s="67" t="s">
        <v>65</v>
      </c>
      <c r="D1" s="67" t="s">
        <v>64</v>
      </c>
      <c r="E1" s="67" t="s">
        <v>59</v>
      </c>
      <c r="F1" s="67" t="s">
        <v>58</v>
      </c>
    </row>
    <row r="2" spans="1:6" x14ac:dyDescent="0.25">
      <c r="B2" s="85">
        <v>-30</v>
      </c>
      <c r="C2" s="86">
        <f>+'Var Ml'!M4-'Var Ml'!M$6</f>
        <v>0</v>
      </c>
      <c r="D2" s="86">
        <f>+'Var Ml'!N4-'Var Ml'!N$6</f>
        <v>-30.300000000000011</v>
      </c>
      <c r="E2" s="86">
        <f>+'Var Ml'!O4-'Var Ml'!O$6</f>
        <v>-47.442857142857179</v>
      </c>
      <c r="F2" s="86">
        <f>+'Var Ml'!P4-'Var Ml'!P$6</f>
        <v>-42.800000000000011</v>
      </c>
    </row>
    <row r="3" spans="1:6" x14ac:dyDescent="0.25">
      <c r="B3" s="85">
        <v>-15</v>
      </c>
      <c r="C3" s="86">
        <f>+'Var Ml'!M5-'Var Ml'!M$6</f>
        <v>0</v>
      </c>
      <c r="D3" s="86">
        <f>+'Var Ml'!N5-'Var Ml'!N$6</f>
        <v>-15.149999999999977</v>
      </c>
      <c r="E3" s="86">
        <f>+'Var Ml'!O5-'Var Ml'!O$6</f>
        <v>-23.721428571428532</v>
      </c>
      <c r="F3" s="86">
        <f>+'Var Ml'!P5-'Var Ml'!P$6</f>
        <v>-21.399999999999977</v>
      </c>
    </row>
    <row r="4" spans="1:6" x14ac:dyDescent="0.25">
      <c r="B4" s="85">
        <v>0</v>
      </c>
      <c r="C4" s="176">
        <f>Synthèse!C15</f>
        <v>137.65425714285715</v>
      </c>
      <c r="D4" s="176">
        <f>Synthèse!D15</f>
        <v>293.59919761904763</v>
      </c>
      <c r="E4" s="176">
        <f>Synthèse!E15</f>
        <v>358.95280178571431</v>
      </c>
      <c r="F4" s="176">
        <f>Synthèse!F15</f>
        <v>421.36852928571432</v>
      </c>
    </row>
    <row r="5" spans="1:6" x14ac:dyDescent="0.25">
      <c r="B5" s="85">
        <v>15</v>
      </c>
      <c r="C5" s="86">
        <f>+'Var Ml'!M7-'Var Ml'!M$6</f>
        <v>0</v>
      </c>
      <c r="D5" s="86">
        <f>+'Var Ml'!N7-'Var Ml'!N$6</f>
        <v>15.149999999999977</v>
      </c>
      <c r="E5" s="86">
        <f>+'Var Ml'!O7-'Var Ml'!O$6</f>
        <v>23.721428571428532</v>
      </c>
      <c r="F5" s="86">
        <f>+'Var Ml'!P7-'Var Ml'!P$6</f>
        <v>21.399999999999977</v>
      </c>
    </row>
    <row r="6" spans="1:6" x14ac:dyDescent="0.25">
      <c r="B6" s="85">
        <v>30</v>
      </c>
      <c r="C6" s="86">
        <f>+'Var Ml'!M8-'Var Ml'!M$6</f>
        <v>0</v>
      </c>
      <c r="D6" s="86">
        <f>+'Var Ml'!N8-'Var Ml'!N$6</f>
        <v>30.300000000000011</v>
      </c>
      <c r="E6" s="86">
        <f>+'Var Ml'!O8-'Var Ml'!O$6</f>
        <v>47.442857142857179</v>
      </c>
      <c r="F6" s="86">
        <f>+'Var Ml'!P8-'Var Ml'!P$6</f>
        <v>42.800000000000011</v>
      </c>
    </row>
    <row r="7" spans="1:6" x14ac:dyDescent="0.25">
      <c r="B7" s="85">
        <v>45</v>
      </c>
      <c r="C7" s="86">
        <f>+'Var Ml'!M9-'Var Ml'!M$6</f>
        <v>0</v>
      </c>
      <c r="D7" s="86">
        <f>+'Var Ml'!N9-'Var Ml'!N$6</f>
        <v>50.5</v>
      </c>
      <c r="E7" s="86">
        <f>+'Var Ml'!O9-'Var Ml'!O$6</f>
        <v>79.071428571428555</v>
      </c>
      <c r="F7" s="86">
        <f>+'Var Ml'!P9-'Var Ml'!P$6</f>
        <v>71.333333333333314</v>
      </c>
    </row>
    <row r="9" spans="1:6" x14ac:dyDescent="0.25">
      <c r="B9" s="83" t="s">
        <v>93</v>
      </c>
      <c r="C9" s="83" t="s">
        <v>65</v>
      </c>
      <c r="D9" s="83" t="s">
        <v>64</v>
      </c>
      <c r="E9" s="83" t="s">
        <v>59</v>
      </c>
      <c r="F9" s="83" t="s">
        <v>58</v>
      </c>
    </row>
    <row r="10" spans="1:6" x14ac:dyDescent="0.25">
      <c r="B10" s="100">
        <v>40</v>
      </c>
      <c r="C10" s="84">
        <f>+'Var Tx H'!I2-'Var Tx H'!I$4</f>
        <v>-20.303571428571445</v>
      </c>
      <c r="D10" s="84">
        <f>+'Var Tx H'!J2-'Var Tx H'!J$4</f>
        <v>-44.273809523809518</v>
      </c>
      <c r="E10" s="84">
        <f>+'Var Tx H'!K2-'Var Tx H'!K$4</f>
        <v>-50.60714285714289</v>
      </c>
      <c r="F10" s="84">
        <f>+'Var Tx H'!L2-'Var Tx H'!L$4</f>
        <v>-55.60714285714289</v>
      </c>
    </row>
    <row r="11" spans="1:6" x14ac:dyDescent="0.25">
      <c r="B11" s="100">
        <v>45</v>
      </c>
      <c r="C11" s="84">
        <f>+'Var Tx H'!I3-'Var Tx H'!I$4</f>
        <v>-10.151785714285722</v>
      </c>
      <c r="D11" s="84">
        <f>+'Var Tx H'!J3-'Var Tx H'!J$4</f>
        <v>-22.136904761904759</v>
      </c>
      <c r="E11" s="84">
        <f>+'Var Tx H'!K3-'Var Tx H'!K$4</f>
        <v>-25.303571428571445</v>
      </c>
      <c r="F11" s="84">
        <f>+'Var Tx H'!L3-'Var Tx H'!L$4</f>
        <v>-27.803571428571445</v>
      </c>
    </row>
    <row r="12" spans="1:6" x14ac:dyDescent="0.25">
      <c r="B12" s="100">
        <v>50</v>
      </c>
      <c r="C12" s="84">
        <f>Synthèse!C15</f>
        <v>137.65425714285715</v>
      </c>
      <c r="D12" s="84">
        <f>Synthèse!D15</f>
        <v>293.59919761904763</v>
      </c>
      <c r="E12" s="84">
        <f>Synthèse!E15</f>
        <v>358.95280178571431</v>
      </c>
      <c r="F12" s="84">
        <f>Synthèse!F15</f>
        <v>421.36852928571432</v>
      </c>
    </row>
    <row r="13" spans="1:6" x14ac:dyDescent="0.25">
      <c r="B13" s="100">
        <v>55</v>
      </c>
      <c r="C13" s="84">
        <f>+'Var Tx H'!I5-'Var Tx H'!I$4</f>
        <v>10.151785714285722</v>
      </c>
      <c r="D13" s="84">
        <f>+'Var Tx H'!J5-'Var Tx H'!J$4</f>
        <v>22.136904761904759</v>
      </c>
      <c r="E13" s="84">
        <f>+'Var Tx H'!K5-'Var Tx H'!K$4</f>
        <v>25.303571428571445</v>
      </c>
      <c r="F13" s="84">
        <f>+'Var Tx H'!L5-'Var Tx H'!L$4</f>
        <v>27.803571428571445</v>
      </c>
    </row>
    <row r="14" spans="1:6" ht="6.6" customHeight="1" x14ac:dyDescent="0.25"/>
    <row r="15" spans="1:6" ht="27.6" x14ac:dyDescent="0.25">
      <c r="B15" s="126" t="s">
        <v>130</v>
      </c>
      <c r="C15" s="126" t="s">
        <v>57</v>
      </c>
      <c r="D15" s="126" t="s">
        <v>64</v>
      </c>
      <c r="E15" s="126" t="s">
        <v>59</v>
      </c>
      <c r="F15" s="126" t="s">
        <v>58</v>
      </c>
    </row>
    <row r="16" spans="1:6" ht="13.2" customHeight="1" x14ac:dyDescent="0.25">
      <c r="B16" s="120">
        <v>0</v>
      </c>
      <c r="C16" s="88">
        <f>+'Var Échecs'!C15-'Var Échecs'!C$17</f>
        <v>-18.467857142857156</v>
      </c>
      <c r="D16" s="88">
        <f>+'Var Échecs'!D15-'Var Échecs'!D$17</f>
        <v>-34.985714285714266</v>
      </c>
      <c r="E16" s="88">
        <f>+'Var Échecs'!E15-'Var Échecs'!E$17</f>
        <v>-34.985714285714266</v>
      </c>
      <c r="F16" s="88">
        <f>+'Var Échecs'!F15-'Var Échecs'!F$17</f>
        <v>-34.985714285714266</v>
      </c>
    </row>
    <row r="17" spans="1:10" x14ac:dyDescent="0.25">
      <c r="B17" s="120">
        <v>10</v>
      </c>
      <c r="C17" s="88">
        <f>+'Var Échecs'!C16-'Var Échecs'!C$17</f>
        <v>-10.259920634920647</v>
      </c>
      <c r="D17" s="88">
        <f>+'Var Échecs'!D16-'Var Échecs'!D$17</f>
        <v>-19.436507936507894</v>
      </c>
      <c r="E17" s="88">
        <f>+'Var Échecs'!E16-'Var Échecs'!E$17</f>
        <v>-19.436507936507894</v>
      </c>
      <c r="F17" s="88">
        <f>+'Var Échecs'!F16-'Var Échecs'!F$17</f>
        <v>-19.436507936507894</v>
      </c>
    </row>
    <row r="18" spans="1:10" x14ac:dyDescent="0.25">
      <c r="B18" s="120">
        <v>20</v>
      </c>
      <c r="C18" s="88">
        <f>Synthèse!C15</f>
        <v>137.65425714285715</v>
      </c>
      <c r="D18" s="88">
        <f>Synthèse!D15</f>
        <v>293.59919761904763</v>
      </c>
      <c r="E18" s="88">
        <f>Synthèse!E15</f>
        <v>358.95280178571431</v>
      </c>
      <c r="F18" s="88">
        <f>Synthèse!F15</f>
        <v>421.36852928571432</v>
      </c>
      <c r="I18" s="123"/>
    </row>
    <row r="19" spans="1:10" x14ac:dyDescent="0.25">
      <c r="B19" s="120">
        <v>30</v>
      </c>
      <c r="C19" s="88">
        <f>+'Var Échecs'!C18-'Var Échecs'!C$17</f>
        <v>13.19132653061223</v>
      </c>
      <c r="D19" s="88">
        <f>+'Var Échecs'!D18-'Var Échecs'!D$17</f>
        <v>24.989795918367349</v>
      </c>
      <c r="E19" s="88">
        <f>+'Var Échecs'!E18-'Var Échecs'!E$17</f>
        <v>24.989795918367349</v>
      </c>
      <c r="F19" s="88">
        <f>+'Var Échecs'!F18-'Var Échecs'!F$17</f>
        <v>24.989795918367349</v>
      </c>
      <c r="I19" s="123"/>
    </row>
    <row r="20" spans="1:10" x14ac:dyDescent="0.25">
      <c r="B20" s="120">
        <v>40</v>
      </c>
      <c r="C20" s="88">
        <f>+'Var Échecs'!C19-'Var Échecs'!C$17</f>
        <v>30.77976190476187</v>
      </c>
      <c r="D20" s="88">
        <f>+'Var Échecs'!D19-'Var Échecs'!D$17</f>
        <v>58.309523809523796</v>
      </c>
      <c r="E20" s="88">
        <f>+'Var Échecs'!E19-'Var Échecs'!E$17</f>
        <v>58.309523809523853</v>
      </c>
      <c r="F20" s="88">
        <f>+'Var Échecs'!F19-'Var Échecs'!F$17</f>
        <v>58.309523809523853</v>
      </c>
    </row>
    <row r="21" spans="1:10" ht="30" customHeight="1" x14ac:dyDescent="0.25">
      <c r="B21" s="127"/>
      <c r="C21" s="128"/>
      <c r="D21" s="123"/>
      <c r="E21" s="123"/>
      <c r="F21" s="123"/>
      <c r="G21" s="123"/>
      <c r="H21" s="123"/>
      <c r="I21" s="123"/>
    </row>
    <row r="22" spans="1:10" ht="30" customHeight="1" x14ac:dyDescent="0.25">
      <c r="A22" s="129" t="s">
        <v>139</v>
      </c>
      <c r="B22" s="127"/>
      <c r="C22" s="128"/>
      <c r="D22" s="123"/>
      <c r="E22" s="123"/>
      <c r="F22" s="123"/>
      <c r="G22" s="123"/>
      <c r="H22" s="123"/>
      <c r="I22" s="123"/>
    </row>
    <row r="23" spans="1:10" ht="21" customHeight="1" x14ac:dyDescent="0.25">
      <c r="A23" s="235" t="s">
        <v>141</v>
      </c>
      <c r="B23" s="237" t="s">
        <v>149</v>
      </c>
      <c r="C23" s="233" t="s">
        <v>65</v>
      </c>
      <c r="D23" s="234"/>
      <c r="E23" s="233" t="s">
        <v>64</v>
      </c>
      <c r="F23" s="234"/>
      <c r="G23" s="233" t="s">
        <v>59</v>
      </c>
      <c r="H23" s="234"/>
      <c r="I23" s="233" t="s">
        <v>58</v>
      </c>
      <c r="J23" s="234"/>
    </row>
    <row r="24" spans="1:10" ht="21" customHeight="1" x14ac:dyDescent="0.25">
      <c r="A24" s="236"/>
      <c r="B24" s="238"/>
      <c r="C24" s="138">
        <f>+C4</f>
        <v>137.65425714285715</v>
      </c>
      <c r="D24" s="139"/>
      <c r="E24" s="142">
        <f>+D4</f>
        <v>293.59919761904763</v>
      </c>
      <c r="F24" s="143"/>
      <c r="G24" s="138">
        <f>+E4</f>
        <v>358.95280178571431</v>
      </c>
      <c r="H24" s="139"/>
      <c r="I24" s="138">
        <f>+F4</f>
        <v>421.36852928571432</v>
      </c>
      <c r="J24" s="139"/>
    </row>
    <row r="25" spans="1:10" ht="15" customHeight="1" x14ac:dyDescent="0.25">
      <c r="A25" s="239" t="s">
        <v>147</v>
      </c>
      <c r="B25" s="132">
        <v>-30</v>
      </c>
      <c r="C25" s="144" t="s">
        <v>140</v>
      </c>
      <c r="D25" s="145" t="s">
        <v>140</v>
      </c>
      <c r="E25" s="140">
        <f>E24+D2</f>
        <v>263.29919761904762</v>
      </c>
      <c r="F25" s="148">
        <f>+(E25-E$24)/E25</f>
        <v>-0.11507820864626914</v>
      </c>
      <c r="G25" s="140">
        <f>G24+E2</f>
        <v>311.50994464285714</v>
      </c>
      <c r="H25" s="148">
        <f t="shared" ref="H25:H30" si="0">+(G25-G$24)/G25</f>
        <v>-0.15229965514343344</v>
      </c>
      <c r="I25" s="140">
        <f>I24+F2</f>
        <v>378.56852928571431</v>
      </c>
      <c r="J25" s="148">
        <f t="shared" ref="J25:J30" si="1">+(I25-I$24)/I25</f>
        <v>-0.11305746962314946</v>
      </c>
    </row>
    <row r="26" spans="1:10" ht="21" customHeight="1" x14ac:dyDescent="0.25">
      <c r="A26" s="240"/>
      <c r="B26" s="135" t="s">
        <v>142</v>
      </c>
      <c r="C26" s="146" t="s">
        <v>140</v>
      </c>
      <c r="D26" s="147" t="s">
        <v>140</v>
      </c>
      <c r="E26" s="141">
        <f>E24+D6</f>
        <v>323.89919761904764</v>
      </c>
      <c r="F26" s="149">
        <f t="shared" ref="F26:F30" si="2">+(E26-E$24)/E26</f>
        <v>9.3547622910869946E-2</v>
      </c>
      <c r="G26" s="141">
        <f>G24+E6</f>
        <v>406.39565892857149</v>
      </c>
      <c r="H26" s="149">
        <f t="shared" si="0"/>
        <v>0.11674056083161996</v>
      </c>
      <c r="I26" s="141">
        <f>I24+F6</f>
        <v>464.16852928571433</v>
      </c>
      <c r="J26" s="149">
        <f t="shared" si="1"/>
        <v>9.2207888513818004E-2</v>
      </c>
    </row>
    <row r="27" spans="1:10" ht="15" customHeight="1" x14ac:dyDescent="0.25">
      <c r="A27" s="241" t="s">
        <v>146</v>
      </c>
      <c r="B27" s="133">
        <v>-5</v>
      </c>
      <c r="C27" s="140">
        <f>C24+C11</f>
        <v>127.50247142857143</v>
      </c>
      <c r="D27" s="148">
        <f>+(C27-C$24)/C27</f>
        <v>-7.9620305399122307E-2</v>
      </c>
      <c r="E27" s="140">
        <f>E24+D11</f>
        <v>271.46229285714287</v>
      </c>
      <c r="F27" s="148">
        <f t="shared" si="2"/>
        <v>-8.1546886416207776E-2</v>
      </c>
      <c r="G27" s="140">
        <f>G24+E11</f>
        <v>333.64923035714287</v>
      </c>
      <c r="H27" s="148">
        <f t="shared" si="0"/>
        <v>-7.5838842491817354E-2</v>
      </c>
      <c r="I27" s="140">
        <f>I24+F11</f>
        <v>393.56495785714287</v>
      </c>
      <c r="J27" s="148">
        <f t="shared" si="1"/>
        <v>-7.0645444604505794E-2</v>
      </c>
    </row>
    <row r="28" spans="1:10" ht="19.5" customHeight="1" x14ac:dyDescent="0.25">
      <c r="A28" s="242"/>
      <c r="B28" s="134" t="s">
        <v>145</v>
      </c>
      <c r="C28" s="141">
        <f>C24+C13</f>
        <v>147.80604285714287</v>
      </c>
      <c r="D28" s="149">
        <f>+(C28-C$24)/C28</f>
        <v>6.868315745451356E-2</v>
      </c>
      <c r="E28" s="141">
        <f>E24+D13</f>
        <v>315.73610238095239</v>
      </c>
      <c r="F28" s="149">
        <f t="shared" si="2"/>
        <v>7.0112047988720047E-2</v>
      </c>
      <c r="G28" s="141">
        <f>G24+E13</f>
        <v>384.25637321428576</v>
      </c>
      <c r="H28" s="149">
        <f t="shared" si="0"/>
        <v>6.5850752758915373E-2</v>
      </c>
      <c r="I28" s="141">
        <f>I24+F13</f>
        <v>449.17210071428576</v>
      </c>
      <c r="J28" s="149">
        <f t="shared" si="1"/>
        <v>6.1899595688061311E-2</v>
      </c>
    </row>
    <row r="29" spans="1:10" ht="15" customHeight="1" x14ac:dyDescent="0.25">
      <c r="A29" s="241" t="s">
        <v>148</v>
      </c>
      <c r="B29" s="136" t="s">
        <v>143</v>
      </c>
      <c r="C29" s="140">
        <f>C24+C17</f>
        <v>127.3943365079365</v>
      </c>
      <c r="D29" s="148">
        <f>+(C29-C$24)/C29</f>
        <v>-8.0536709214553401E-2</v>
      </c>
      <c r="E29" s="140">
        <f>E24+D17</f>
        <v>274.16268968253974</v>
      </c>
      <c r="F29" s="148">
        <f t="shared" si="2"/>
        <v>-7.0894066435567671E-2</v>
      </c>
      <c r="G29" s="140">
        <f>G24+E17</f>
        <v>339.51629384920642</v>
      </c>
      <c r="H29" s="148">
        <f t="shared" si="0"/>
        <v>-5.7247644041320947E-2</v>
      </c>
      <c r="I29" s="140">
        <f>I24+F17</f>
        <v>401.93202134920642</v>
      </c>
      <c r="J29" s="148">
        <f t="shared" si="1"/>
        <v>-4.8357699571343872E-2</v>
      </c>
    </row>
    <row r="30" spans="1:10" ht="18.75" customHeight="1" x14ac:dyDescent="0.25">
      <c r="A30" s="242"/>
      <c r="B30" s="137" t="s">
        <v>144</v>
      </c>
      <c r="C30" s="141">
        <f>C24+C19</f>
        <v>150.84558367346938</v>
      </c>
      <c r="D30" s="149">
        <f>+(C30-C$24)/C30</f>
        <v>8.7449206064707033E-2</v>
      </c>
      <c r="E30" s="141">
        <f>E24+D19</f>
        <v>318.58899353741498</v>
      </c>
      <c r="F30" s="149">
        <f t="shared" si="2"/>
        <v>7.8438980709584855E-2</v>
      </c>
      <c r="G30" s="141">
        <f>G24+E19</f>
        <v>383.94259770408166</v>
      </c>
      <c r="H30" s="149">
        <f t="shared" si="0"/>
        <v>6.5087323125390437E-2</v>
      </c>
      <c r="I30" s="141">
        <f>I24+F19</f>
        <v>446.35832520408167</v>
      </c>
      <c r="J30" s="149">
        <f t="shared" si="1"/>
        <v>5.59859523331208E-2</v>
      </c>
    </row>
    <row r="31" spans="1:10" x14ac:dyDescent="0.25">
      <c r="G31" s="131"/>
      <c r="H31" s="131"/>
      <c r="I31" s="131"/>
    </row>
    <row r="32" spans="1:10" x14ac:dyDescent="0.25">
      <c r="G32" s="131"/>
      <c r="H32" s="131"/>
      <c r="I32" s="131"/>
    </row>
    <row r="33" spans="9:9" x14ac:dyDescent="0.25">
      <c r="I33" s="131"/>
    </row>
    <row r="34" spans="9:9" x14ac:dyDescent="0.25">
      <c r="I34" s="131"/>
    </row>
    <row r="35" spans="9:9" x14ac:dyDescent="0.25">
      <c r="I35" s="131"/>
    </row>
    <row r="36" spans="9:9" x14ac:dyDescent="0.25">
      <c r="I36" s="131"/>
    </row>
    <row r="37" spans="9:9" x14ac:dyDescent="0.25">
      <c r="I37" s="131"/>
    </row>
    <row r="38" spans="9:9" x14ac:dyDescent="0.25">
      <c r="I38" s="131"/>
    </row>
    <row r="39" spans="9:9" x14ac:dyDescent="0.25">
      <c r="I39" s="131"/>
    </row>
    <row r="40" spans="9:9" x14ac:dyDescent="0.25">
      <c r="I40" s="131"/>
    </row>
    <row r="41" spans="9:9" x14ac:dyDescent="0.25">
      <c r="I41" s="131"/>
    </row>
    <row r="42" spans="9:9" x14ac:dyDescent="0.25">
      <c r="I42" s="131"/>
    </row>
    <row r="43" spans="9:9" x14ac:dyDescent="0.25">
      <c r="I43" s="131"/>
    </row>
    <row r="44" spans="9:9" x14ac:dyDescent="0.25">
      <c r="I44" s="131"/>
    </row>
    <row r="45" spans="9:9" x14ac:dyDescent="0.25">
      <c r="I45" s="131"/>
    </row>
  </sheetData>
  <mergeCells count="9">
    <mergeCell ref="I23:J23"/>
    <mergeCell ref="A23:A24"/>
    <mergeCell ref="B23:B24"/>
    <mergeCell ref="A25:A26"/>
    <mergeCell ref="A29:A30"/>
    <mergeCell ref="A27:A28"/>
    <mergeCell ref="C23:D23"/>
    <mergeCell ref="E23:F23"/>
    <mergeCell ref="G23:H23"/>
  </mergeCells>
  <pageMargins left="0.7" right="0.7" top="0.75" bottom="0.75" header="0.3" footer="0.3"/>
  <pageSetup paperSize="9" orientation="portrait" r:id="rId1"/>
  <ignoredErrors>
    <ignoredError sqref="B28:B29 B3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0"/>
  <sheetViews>
    <sheetView zoomScale="115" zoomScaleNormal="115" workbookViewId="0">
      <selection activeCell="G35" sqref="G35"/>
    </sheetView>
  </sheetViews>
  <sheetFormatPr baseColWidth="10" defaultColWidth="11.5546875" defaultRowHeight="13.8" x14ac:dyDescent="0.25"/>
  <cols>
    <col min="1" max="1" width="38.33203125" style="14" bestFit="1" customWidth="1"/>
    <col min="2" max="5" width="10" style="14" customWidth="1"/>
    <col min="6" max="6" width="2.88671875" style="14" customWidth="1"/>
    <col min="7" max="7" width="14.44140625" style="11" customWidth="1"/>
    <col min="8" max="10" width="10" style="12" customWidth="1"/>
    <col min="11" max="11" width="3.5546875" style="14" customWidth="1"/>
    <col min="12" max="15" width="10" style="12" customWidth="1"/>
    <col min="16" max="16" width="10" style="14" customWidth="1"/>
    <col min="17" max="17" width="7" style="14" customWidth="1"/>
    <col min="18" max="16384" width="11.5546875" style="14"/>
  </cols>
  <sheetData>
    <row r="1" spans="1:16" ht="47.25" customHeight="1" x14ac:dyDescent="0.25">
      <c r="G1" s="155" t="s">
        <v>154</v>
      </c>
      <c r="H1" s="164">
        <f>+'Techniciens &amp; Véhicule'!$D$19*2</f>
        <v>100</v>
      </c>
      <c r="I1" s="164">
        <f>+'Techniciens &amp; Véhicule'!$D$19*2</f>
        <v>100</v>
      </c>
      <c r="J1" s="164">
        <f>+'Techniciens &amp; Véhicule'!$D$19*2</f>
        <v>100</v>
      </c>
    </row>
    <row r="2" spans="1:16" ht="10.5" customHeight="1" x14ac:dyDescent="0.25">
      <c r="G2" s="14"/>
      <c r="H2" s="14"/>
      <c r="I2" s="14"/>
    </row>
    <row r="3" spans="1:16" ht="22.2" customHeight="1" x14ac:dyDescent="0.25">
      <c r="A3" s="29" t="s">
        <v>76</v>
      </c>
      <c r="B3" s="67" t="s">
        <v>65</v>
      </c>
      <c r="C3" s="67" t="s">
        <v>64</v>
      </c>
      <c r="D3" s="67" t="s">
        <v>59</v>
      </c>
      <c r="E3" s="67" t="s">
        <v>58</v>
      </c>
      <c r="G3" s="67" t="s">
        <v>123</v>
      </c>
      <c r="H3" s="67" t="s">
        <v>64</v>
      </c>
      <c r="I3" s="67" t="s">
        <v>59</v>
      </c>
      <c r="J3" s="67" t="s">
        <v>58</v>
      </c>
      <c r="L3" s="67" t="s">
        <v>81</v>
      </c>
      <c r="M3" s="67" t="s">
        <v>65</v>
      </c>
      <c r="N3" s="67" t="s">
        <v>64</v>
      </c>
      <c r="O3" s="67" t="s">
        <v>59</v>
      </c>
      <c r="P3" s="67" t="s">
        <v>58</v>
      </c>
    </row>
    <row r="4" spans="1:16" x14ac:dyDescent="0.25">
      <c r="A4" s="54" t="s">
        <v>77</v>
      </c>
      <c r="B4" s="55">
        <f>SUM(B5:B6)</f>
        <v>20</v>
      </c>
      <c r="C4" s="55">
        <f>SUM(C5:C6)</f>
        <v>70</v>
      </c>
      <c r="D4" s="55">
        <f>SUM(D5:D6)</f>
        <v>45</v>
      </c>
      <c r="E4" s="55">
        <f>SUM(E5:E6)</f>
        <v>70</v>
      </c>
      <c r="G4" s="243">
        <v>-30</v>
      </c>
      <c r="H4" s="116">
        <f>+Matériel!$B$5*'Var Ml'!$G4</f>
        <v>-15.3</v>
      </c>
      <c r="I4" s="116">
        <f>+Matériel!$B$5*'Var Ml'!$G4</f>
        <v>-15.3</v>
      </c>
      <c r="J4" s="116">
        <f>+Matériel!$B$5*'Var Ml'!$G4</f>
        <v>-15.3</v>
      </c>
      <c r="L4" s="85">
        <f>+G4</f>
        <v>-30</v>
      </c>
      <c r="M4" s="86">
        <f>+Synthèse!$C$15</f>
        <v>137.65425714285715</v>
      </c>
      <c r="N4" s="86">
        <f>+Synthèse!$D$15+'Var Ml'!H4+'Var Ml'!H5</f>
        <v>263.29919761904762</v>
      </c>
      <c r="O4" s="86">
        <f>+Synthèse!$E$15+'Var Ml'!I4+'Var Ml'!I5</f>
        <v>311.50994464285714</v>
      </c>
      <c r="P4" s="86">
        <f>+Synthèse!$F$15+'Var Ml'!J4+'Var Ml'!J5</f>
        <v>378.56852928571431</v>
      </c>
    </row>
    <row r="5" spans="1:16" x14ac:dyDescent="0.25">
      <c r="A5" s="56" t="s">
        <v>78</v>
      </c>
      <c r="B5" s="53">
        <v>10</v>
      </c>
      <c r="C5" s="53">
        <v>50</v>
      </c>
      <c r="D5" s="53">
        <v>25</v>
      </c>
      <c r="E5" s="53">
        <v>50</v>
      </c>
      <c r="G5" s="244"/>
      <c r="H5" s="116">
        <f>+('Étapes &amp; Durée'!$C$6/'Étapes &amp; Durée'!$C$2*'Var Ml'!$G4)/60*H$1</f>
        <v>-15</v>
      </c>
      <c r="I5" s="116">
        <f>+('Étapes &amp; Durée'!$D$6/'Étapes &amp; Durée'!$D$2*'Var Ml'!$G4)/60*I$1</f>
        <v>-32.142857142857146</v>
      </c>
      <c r="J5" s="116">
        <f>+('Étapes &amp; Durée'!$E$6/'Étapes &amp; Durée'!$E$2*'Var Ml'!$G4)/60*J$1</f>
        <v>-27.500000000000004</v>
      </c>
      <c r="L5" s="85">
        <f>+G7</f>
        <v>-15</v>
      </c>
      <c r="M5" s="86">
        <f>+Synthèse!$C$15</f>
        <v>137.65425714285715</v>
      </c>
      <c r="N5" s="86">
        <f>+Synthèse!$D$15+'Var Ml'!H7+'Var Ml'!H8</f>
        <v>278.44919761904765</v>
      </c>
      <c r="O5" s="86">
        <f>+Synthèse!$E$15+'Var Ml'!I7+'Var Ml'!I8</f>
        <v>335.23137321428578</v>
      </c>
      <c r="P5" s="86">
        <f>+Synthèse!$F$15+'Var Ml'!J7+'Var Ml'!J8</f>
        <v>399.96852928571434</v>
      </c>
    </row>
    <row r="6" spans="1:16" x14ac:dyDescent="0.25">
      <c r="A6" s="56" t="s">
        <v>184</v>
      </c>
      <c r="B6" s="53">
        <v>10</v>
      </c>
      <c r="C6" s="53">
        <v>20</v>
      </c>
      <c r="D6" s="53">
        <v>20</v>
      </c>
      <c r="E6" s="53">
        <v>20</v>
      </c>
      <c r="G6" s="115"/>
      <c r="H6" s="116"/>
      <c r="I6" s="116"/>
      <c r="J6" s="116"/>
      <c r="L6" s="85">
        <f>+G10</f>
        <v>0</v>
      </c>
      <c r="M6" s="86">
        <f>+Synthèse!$C$15</f>
        <v>137.65425714285715</v>
      </c>
      <c r="N6" s="86">
        <f>+Synthèse!$D$15+'Var Ml'!H10+'Var Ml'!H11</f>
        <v>293.59919761904763</v>
      </c>
      <c r="O6" s="86">
        <f>+Synthèse!$E$15+'Var Ml'!I10+'Var Ml'!I11</f>
        <v>358.95280178571431</v>
      </c>
      <c r="P6" s="86">
        <f>+Synthèse!$F$15+'Var Ml'!J10+'Var Ml'!J11</f>
        <v>421.36852928571432</v>
      </c>
    </row>
    <row r="7" spans="1:16" x14ac:dyDescent="0.25">
      <c r="A7" s="54" t="s">
        <v>79</v>
      </c>
      <c r="B7" s="55">
        <v>30</v>
      </c>
      <c r="C7" s="55">
        <v>100</v>
      </c>
      <c r="D7" s="55">
        <v>70</v>
      </c>
      <c r="E7" s="55">
        <v>100</v>
      </c>
      <c r="G7" s="243">
        <v>-15</v>
      </c>
      <c r="H7" s="116">
        <f>+Matériel!$B$5*'Var Ml'!$G7</f>
        <v>-7.65</v>
      </c>
      <c r="I7" s="116">
        <f>+Matériel!$B$5*'Var Ml'!$G7</f>
        <v>-7.65</v>
      </c>
      <c r="J7" s="116">
        <f>+Matériel!$B$5*'Var Ml'!$G7</f>
        <v>-7.65</v>
      </c>
      <c r="L7" s="85">
        <f>+G13</f>
        <v>15</v>
      </c>
      <c r="M7" s="86">
        <f>+Synthèse!$C$15</f>
        <v>137.65425714285715</v>
      </c>
      <c r="N7" s="86">
        <f>+Synthèse!$D$15+'Var Ml'!H13+'Var Ml'!H14</f>
        <v>308.74919761904761</v>
      </c>
      <c r="O7" s="86">
        <f>+Synthèse!$E$15+'Var Ml'!I13+'Var Ml'!I14</f>
        <v>382.67423035714285</v>
      </c>
      <c r="P7" s="86">
        <f>+Synthèse!$F$15+'Var Ml'!J13+'Var Ml'!J14</f>
        <v>442.76852928571429</v>
      </c>
    </row>
    <row r="8" spans="1:16" x14ac:dyDescent="0.25">
      <c r="G8" s="244"/>
      <c r="H8" s="116">
        <f>+('Étapes &amp; Durée'!$C$6/'Étapes &amp; Durée'!$C$2*'Var Ml'!$G7)/60*H$1</f>
        <v>-7.5</v>
      </c>
      <c r="I8" s="116">
        <f>+('Étapes &amp; Durée'!$D$6/'Étapes &amp; Durée'!$D$2*'Var Ml'!$G7)/60*I$1</f>
        <v>-16.071428571428573</v>
      </c>
      <c r="J8" s="116">
        <f>+('Étapes &amp; Durée'!$E$6/'Étapes &amp; Durée'!$E$2*'Var Ml'!$G7)/60*J$1</f>
        <v>-13.750000000000002</v>
      </c>
      <c r="L8" s="85">
        <f>+G16</f>
        <v>30</v>
      </c>
      <c r="M8" s="86">
        <f>+Synthèse!$C$15</f>
        <v>137.65425714285715</v>
      </c>
      <c r="N8" s="86">
        <f>+Synthèse!$D$15+'Var Ml'!H16+'Var Ml'!H17</f>
        <v>323.89919761904764</v>
      </c>
      <c r="O8" s="86">
        <f>+Synthèse!$E$15+'Var Ml'!I16+'Var Ml'!I17</f>
        <v>406.39565892857149</v>
      </c>
      <c r="P8" s="86">
        <f>+Synthèse!$F$15+'Var Ml'!J16+'Var Ml'!J17</f>
        <v>464.16852928571433</v>
      </c>
    </row>
    <row r="9" spans="1:16" x14ac:dyDescent="0.25">
      <c r="G9" s="115"/>
      <c r="H9" s="116"/>
      <c r="I9" s="116"/>
      <c r="J9" s="116"/>
      <c r="L9" s="85">
        <f>+G19</f>
        <v>50</v>
      </c>
      <c r="M9" s="86">
        <f>+Synthèse!$C$15</f>
        <v>137.65425714285715</v>
      </c>
      <c r="N9" s="86">
        <f>+Synthèse!$D$15+'Var Ml'!H19+'Var Ml'!H20</f>
        <v>344.09919761904763</v>
      </c>
      <c r="O9" s="86">
        <f>+Synthèse!$E$15+'Var Ml'!I19+'Var Ml'!I20</f>
        <v>438.02423035714287</v>
      </c>
      <c r="P9" s="86">
        <f>+Synthèse!$F$15+'Var Ml'!J19+'Var Ml'!J20</f>
        <v>492.70186261904763</v>
      </c>
    </row>
    <row r="10" spans="1:16" x14ac:dyDescent="0.25">
      <c r="G10" s="243">
        <v>0</v>
      </c>
      <c r="H10" s="116">
        <f>+Matériel!$B$5*'Var Ml'!$G10</f>
        <v>0</v>
      </c>
      <c r="I10" s="116">
        <f>+Matériel!$B$5*'Var Ml'!$G10</f>
        <v>0</v>
      </c>
      <c r="J10" s="116">
        <f>+Matériel!$B$5*'Var Ml'!$G10</f>
        <v>0</v>
      </c>
      <c r="L10" s="168"/>
      <c r="M10" s="169"/>
      <c r="N10" s="169"/>
      <c r="O10" s="169"/>
      <c r="P10" s="169"/>
    </row>
    <row r="11" spans="1:16" x14ac:dyDescent="0.25">
      <c r="G11" s="244"/>
      <c r="H11" s="116">
        <f>+('Étapes &amp; Durée'!$C$6/'Étapes &amp; Durée'!$C$2*'Var Ml'!$G10)/60*H$1</f>
        <v>0</v>
      </c>
      <c r="I11" s="116">
        <f>+('Étapes &amp; Durée'!$D$6/'Étapes &amp; Durée'!$D$2*'Var Ml'!$G10)/60*I$1</f>
        <v>0</v>
      </c>
      <c r="J11" s="116">
        <f>+('Étapes &amp; Durée'!$E$6/'Étapes &amp; Durée'!$E$2*'Var Ml'!$G10)/60*J$1</f>
        <v>0</v>
      </c>
      <c r="L11" s="170">
        <v>-30</v>
      </c>
      <c r="M11" s="171"/>
      <c r="N11" s="172">
        <f t="shared" ref="N11:P12" si="0">+(N4-N$6)/N$6</f>
        <v>-0.10320191691843458</v>
      </c>
      <c r="O11" s="172">
        <f t="shared" si="0"/>
        <v>-0.13217018200398212</v>
      </c>
      <c r="P11" s="172">
        <f t="shared" si="0"/>
        <v>-0.10157379354493493</v>
      </c>
    </row>
    <row r="12" spans="1:16" x14ac:dyDescent="0.25">
      <c r="G12" s="115"/>
      <c r="H12" s="116"/>
      <c r="I12" s="116"/>
      <c r="J12" s="116"/>
      <c r="L12" s="170">
        <v>-15</v>
      </c>
      <c r="M12" s="171"/>
      <c r="N12" s="172">
        <f t="shared" si="0"/>
        <v>-5.1600958459217194E-2</v>
      </c>
      <c r="O12" s="172">
        <f t="shared" si="0"/>
        <v>-6.6085091001990906E-2</v>
      </c>
      <c r="P12" s="172">
        <f t="shared" si="0"/>
        <v>-5.0786896772467394E-2</v>
      </c>
    </row>
    <row r="13" spans="1:16" x14ac:dyDescent="0.25">
      <c r="G13" s="243">
        <v>15</v>
      </c>
      <c r="H13" s="116">
        <f>+Matériel!$B$5*'Var Ml'!$G13</f>
        <v>7.65</v>
      </c>
      <c r="I13" s="116">
        <f>+Matériel!$B$5*'Var Ml'!$G13</f>
        <v>7.65</v>
      </c>
      <c r="J13" s="116">
        <f>+Matériel!$B$5*'Var Ml'!$G13</f>
        <v>7.65</v>
      </c>
      <c r="L13" s="170">
        <v>15</v>
      </c>
      <c r="M13" s="171"/>
      <c r="N13" s="172">
        <f t="shared" ref="N13:P15" si="1">+(N7-N$6)/N$6</f>
        <v>5.1600958459217194E-2</v>
      </c>
      <c r="O13" s="172">
        <f t="shared" si="1"/>
        <v>6.6085091001990906E-2</v>
      </c>
      <c r="P13" s="172">
        <f t="shared" si="1"/>
        <v>5.0786896772467394E-2</v>
      </c>
    </row>
    <row r="14" spans="1:16" x14ac:dyDescent="0.25">
      <c r="G14" s="244"/>
      <c r="H14" s="116">
        <f>+('Étapes &amp; Durée'!$C$6/'Étapes &amp; Durée'!$C$2*'Var Ml'!$G13)/60*H$1</f>
        <v>7.5</v>
      </c>
      <c r="I14" s="116">
        <f>+('Étapes &amp; Durée'!$D$6/'Étapes &amp; Durée'!$D$2*'Var Ml'!$G13)/60*I$1</f>
        <v>16.071428571428573</v>
      </c>
      <c r="J14" s="116">
        <f>+('Étapes &amp; Durée'!$E$6/'Étapes &amp; Durée'!$E$2*'Var Ml'!$G13)/60*J$1</f>
        <v>13.750000000000002</v>
      </c>
      <c r="L14" s="170">
        <v>30</v>
      </c>
      <c r="M14" s="171"/>
      <c r="N14" s="172">
        <f t="shared" si="1"/>
        <v>0.10320191691843458</v>
      </c>
      <c r="O14" s="172">
        <f t="shared" si="1"/>
        <v>0.13217018200398212</v>
      </c>
      <c r="P14" s="172">
        <f t="shared" si="1"/>
        <v>0.10157379354493493</v>
      </c>
    </row>
    <row r="15" spans="1:16" x14ac:dyDescent="0.25">
      <c r="G15" s="115"/>
      <c r="H15" s="116"/>
      <c r="I15" s="116"/>
      <c r="J15" s="116"/>
      <c r="L15" s="170">
        <v>45</v>
      </c>
      <c r="M15" s="171"/>
      <c r="N15" s="172">
        <f t="shared" si="1"/>
        <v>0.17200319486405757</v>
      </c>
      <c r="O15" s="172">
        <f t="shared" si="1"/>
        <v>0.22028363667330331</v>
      </c>
      <c r="P15" s="172">
        <f t="shared" si="1"/>
        <v>0.16928965590822478</v>
      </c>
    </row>
    <row r="16" spans="1:16" x14ac:dyDescent="0.25">
      <c r="G16" s="243">
        <v>30</v>
      </c>
      <c r="H16" s="116">
        <f>+Matériel!$B$5*'Var Ml'!$G16</f>
        <v>15.3</v>
      </c>
      <c r="I16" s="116">
        <f>+Matériel!$B$5*'Var Ml'!$G16</f>
        <v>15.3</v>
      </c>
      <c r="J16" s="116">
        <f>+Matériel!$B$5*'Var Ml'!$G16</f>
        <v>15.3</v>
      </c>
    </row>
    <row r="17" spans="7:10" x14ac:dyDescent="0.25">
      <c r="G17" s="244"/>
      <c r="H17" s="116">
        <f>+('Étapes &amp; Durée'!$C$6/'Étapes &amp; Durée'!$C$2*'Var Ml'!$G16)/60*H$1</f>
        <v>15</v>
      </c>
      <c r="I17" s="116">
        <f>+('Étapes &amp; Durée'!$D$6/'Étapes &amp; Durée'!$D$2*'Var Ml'!$G16)/60*I$1</f>
        <v>32.142857142857146</v>
      </c>
      <c r="J17" s="116">
        <f>+('Étapes &amp; Durée'!$E$6/'Étapes &amp; Durée'!$E$2*'Var Ml'!$G16)/60*J$1</f>
        <v>27.500000000000004</v>
      </c>
    </row>
    <row r="18" spans="7:10" x14ac:dyDescent="0.25">
      <c r="G18" s="115"/>
      <c r="H18" s="116"/>
      <c r="I18" s="116"/>
      <c r="J18" s="116"/>
    </row>
    <row r="19" spans="7:10" x14ac:dyDescent="0.25">
      <c r="G19" s="243">
        <v>50</v>
      </c>
      <c r="H19" s="116">
        <f>+Matériel!$B$5*'Var Ml'!$G19</f>
        <v>25.5</v>
      </c>
      <c r="I19" s="116">
        <f>+Matériel!$B$5*'Var Ml'!$G19</f>
        <v>25.5</v>
      </c>
      <c r="J19" s="116">
        <f>+Matériel!$B$5*'Var Ml'!$G19</f>
        <v>25.5</v>
      </c>
    </row>
    <row r="20" spans="7:10" x14ac:dyDescent="0.25">
      <c r="G20" s="244"/>
      <c r="H20" s="116">
        <f>+('Étapes &amp; Durée'!$C$6/'Étapes &amp; Durée'!$C$2*'Var Ml'!$G19)/60*H$1</f>
        <v>25</v>
      </c>
      <c r="I20" s="116">
        <f>+('Étapes &amp; Durée'!$D$6/'Étapes &amp; Durée'!$D$2*'Var Ml'!$G19)/60*I$1</f>
        <v>53.571428571428584</v>
      </c>
      <c r="J20" s="116">
        <f>+('Étapes &amp; Durée'!$E$6/'Étapes &amp; Durée'!$E$2*'Var Ml'!$G19)/60*J$1</f>
        <v>45.833333333333336</v>
      </c>
    </row>
  </sheetData>
  <mergeCells count="6">
    <mergeCell ref="G19:G20"/>
    <mergeCell ref="G4:G5"/>
    <mergeCell ref="G7:G8"/>
    <mergeCell ref="G10:G11"/>
    <mergeCell ref="G13:G14"/>
    <mergeCell ref="G16:G17"/>
  </mergeCells>
  <pageMargins left="0.7" right="0.7" top="0.75" bottom="0.75" header="0.3" footer="0.3"/>
  <ignoredErrors>
    <ignoredError sqref="E4 B4:C4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47"/>
  <sheetViews>
    <sheetView topLeftCell="A28" zoomScale="130" zoomScaleNormal="130" workbookViewId="0">
      <selection activeCell="H13" sqref="H13"/>
    </sheetView>
  </sheetViews>
  <sheetFormatPr baseColWidth="10" defaultRowHeight="13.2" x14ac:dyDescent="0.25"/>
  <cols>
    <col min="1" max="1" width="22.88671875" customWidth="1"/>
    <col min="2" max="2" width="12.88671875" customWidth="1"/>
    <col min="3" max="6" width="10" customWidth="1"/>
    <col min="7" max="7" width="10.5546875" customWidth="1"/>
    <col min="8" max="12" width="10" customWidth="1"/>
    <col min="13" max="13" width="10" style="73" customWidth="1"/>
    <col min="14" max="21" width="7.44140625" style="73" customWidth="1"/>
  </cols>
  <sheetData>
    <row r="1" spans="1:22" s="66" customFormat="1" ht="24" x14ac:dyDescent="0.25">
      <c r="A1" s="94" t="s">
        <v>37</v>
      </c>
      <c r="B1" s="94" t="s">
        <v>63</v>
      </c>
      <c r="C1" s="95" t="s">
        <v>57</v>
      </c>
      <c r="D1" s="95" t="s">
        <v>64</v>
      </c>
      <c r="E1" s="95" t="s">
        <v>59</v>
      </c>
      <c r="F1" s="95" t="s">
        <v>58</v>
      </c>
      <c r="H1" s="83" t="s">
        <v>93</v>
      </c>
      <c r="I1" s="83" t="s">
        <v>65</v>
      </c>
      <c r="J1" s="83" t="s">
        <v>64</v>
      </c>
      <c r="K1" s="83" t="s">
        <v>59</v>
      </c>
      <c r="L1" s="83" t="s">
        <v>58</v>
      </c>
      <c r="M1" s="68"/>
      <c r="N1" s="68"/>
      <c r="O1" s="68"/>
      <c r="P1" s="68"/>
      <c r="Q1" s="68"/>
      <c r="R1" s="68"/>
      <c r="S1" s="68"/>
      <c r="T1" s="68"/>
      <c r="U1" s="68"/>
      <c r="V1"/>
    </row>
    <row r="2" spans="1:22" s="70" customFormat="1" x14ac:dyDescent="0.25">
      <c r="A2" s="245" t="s">
        <v>0</v>
      </c>
      <c r="B2" s="177" t="s">
        <v>54</v>
      </c>
      <c r="C2" s="186">
        <f>+Synthèse!C$4</f>
        <v>7.8000000000000007</v>
      </c>
      <c r="D2" s="186">
        <f>+Synthèse!D$4</f>
        <v>7.8000000000000007</v>
      </c>
      <c r="E2" s="186">
        <f>+Synthèse!E$4</f>
        <v>7.8000000000000007</v>
      </c>
      <c r="F2" s="186">
        <f>+Synthèse!F$4</f>
        <v>7.8000000000000007</v>
      </c>
      <c r="H2" s="100">
        <f>+C5</f>
        <v>40</v>
      </c>
      <c r="I2" s="84">
        <f>+C11</f>
        <v>117.3506857142857</v>
      </c>
      <c r="J2" s="84">
        <f>+D11</f>
        <v>249.32538809523811</v>
      </c>
      <c r="K2" s="84">
        <f>+E11</f>
        <v>308.34565892857142</v>
      </c>
      <c r="L2" s="84">
        <f>+F11</f>
        <v>365.76138642857143</v>
      </c>
      <c r="M2" s="69"/>
      <c r="N2" s="69"/>
      <c r="O2" s="69"/>
      <c r="P2" s="69"/>
      <c r="Q2" s="69"/>
      <c r="R2" s="69"/>
      <c r="S2" s="69"/>
      <c r="T2" s="69"/>
      <c r="U2" s="69"/>
      <c r="V2"/>
    </row>
    <row r="3" spans="1:22" s="70" customFormat="1" x14ac:dyDescent="0.25">
      <c r="A3" s="246"/>
      <c r="B3" s="177" t="s">
        <v>85</v>
      </c>
      <c r="C3" s="187">
        <f>+Synthèse!C$5</f>
        <v>0</v>
      </c>
      <c r="D3" s="187">
        <f>+Synthèse!D$5</f>
        <v>0</v>
      </c>
      <c r="E3" s="187">
        <f>+Synthèse!E$5</f>
        <v>52.73</v>
      </c>
      <c r="F3" s="187">
        <f>+Synthèse!F$5</f>
        <v>58.81</v>
      </c>
      <c r="H3" s="100">
        <f>+C17</f>
        <v>45</v>
      </c>
      <c r="I3" s="84">
        <f>+C23</f>
        <v>127.50247142857143</v>
      </c>
      <c r="J3" s="84">
        <f>+D23</f>
        <v>271.46229285714287</v>
      </c>
      <c r="K3" s="84">
        <f>+E23</f>
        <v>333.64923035714287</v>
      </c>
      <c r="L3" s="84">
        <f>+F23</f>
        <v>393.56495785714287</v>
      </c>
      <c r="M3" s="69"/>
      <c r="N3" s="69"/>
      <c r="O3" s="69"/>
      <c r="P3" s="69"/>
      <c r="Q3" s="69"/>
      <c r="R3" s="69"/>
      <c r="S3" s="69"/>
      <c r="T3" s="69"/>
      <c r="U3" s="69"/>
      <c r="V3"/>
    </row>
    <row r="4" spans="1:22" s="70" customFormat="1" x14ac:dyDescent="0.25">
      <c r="A4" s="247" t="s">
        <v>92</v>
      </c>
      <c r="B4" s="177" t="s">
        <v>185</v>
      </c>
      <c r="C4" s="188">
        <f>+Synthèse!C$8</f>
        <v>102</v>
      </c>
      <c r="D4" s="188">
        <f>+Synthèse!D$8</f>
        <v>226</v>
      </c>
      <c r="E4" s="188">
        <f>+Synthèse!E$8</f>
        <v>264</v>
      </c>
      <c r="F4" s="188">
        <f>+Synthèse!F$8</f>
        <v>294</v>
      </c>
      <c r="H4" s="100">
        <f>+C29</f>
        <v>50</v>
      </c>
      <c r="I4" s="84">
        <f>+C35</f>
        <v>137.65425714285715</v>
      </c>
      <c r="J4" s="84">
        <f>+D35</f>
        <v>293.59919761904763</v>
      </c>
      <c r="K4" s="84">
        <f>+E35</f>
        <v>358.95280178571431</v>
      </c>
      <c r="L4" s="84">
        <f>+F35</f>
        <v>421.36852928571432</v>
      </c>
      <c r="M4" s="69"/>
      <c r="N4" s="69"/>
      <c r="O4" s="69"/>
      <c r="P4" s="69"/>
      <c r="Q4" s="69"/>
      <c r="R4" s="69"/>
      <c r="S4" s="69"/>
      <c r="T4" s="69"/>
      <c r="U4" s="69"/>
      <c r="V4"/>
    </row>
    <row r="5" spans="1:22" s="70" customFormat="1" x14ac:dyDescent="0.25">
      <c r="A5" s="247"/>
      <c r="B5" s="177" t="s">
        <v>51</v>
      </c>
      <c r="C5" s="178">
        <v>40</v>
      </c>
      <c r="D5" s="178">
        <f>+C5</f>
        <v>40</v>
      </c>
      <c r="E5" s="178">
        <f>+C5</f>
        <v>40</v>
      </c>
      <c r="F5" s="178">
        <f>+C5</f>
        <v>40</v>
      </c>
      <c r="H5" s="100">
        <f>+C41</f>
        <v>55</v>
      </c>
      <c r="I5" s="84">
        <f>+C47</f>
        <v>147.80604285714287</v>
      </c>
      <c r="J5" s="84">
        <f>+D47</f>
        <v>315.73610238095239</v>
      </c>
      <c r="K5" s="84">
        <f>+E47</f>
        <v>384.25637321428576</v>
      </c>
      <c r="L5" s="84">
        <f>+F47</f>
        <v>449.17210071428576</v>
      </c>
      <c r="M5" s="69"/>
      <c r="N5" s="69"/>
      <c r="O5" s="69"/>
      <c r="P5" s="69"/>
      <c r="Q5" s="69"/>
      <c r="R5" s="69"/>
      <c r="S5" s="69"/>
      <c r="T5" s="69"/>
      <c r="U5" s="69"/>
      <c r="V5"/>
    </row>
    <row r="6" spans="1:22" x14ac:dyDescent="0.25">
      <c r="A6" s="247"/>
      <c r="B6" s="177" t="s">
        <v>54</v>
      </c>
      <c r="C6" s="96">
        <f>+C4/60*C5</f>
        <v>68</v>
      </c>
      <c r="D6" s="96">
        <f>+D4/60*D5</f>
        <v>150.66666666666666</v>
      </c>
      <c r="E6" s="96">
        <f>+E4/60*E5</f>
        <v>176</v>
      </c>
      <c r="F6" s="96">
        <f>+F4/60*F5</f>
        <v>196</v>
      </c>
    </row>
    <row r="7" spans="1:22" x14ac:dyDescent="0.25">
      <c r="A7" s="248" t="s">
        <v>156</v>
      </c>
      <c r="B7" s="248"/>
      <c r="C7" s="98">
        <f>+C2+C3+C6</f>
        <v>75.8</v>
      </c>
      <c r="D7" s="98">
        <f>+D2+D3+D6</f>
        <v>158.46666666666667</v>
      </c>
      <c r="E7" s="98">
        <f>+E2+E3+E6</f>
        <v>236.53</v>
      </c>
      <c r="F7" s="98">
        <f>+F2+F3+F6</f>
        <v>262.61</v>
      </c>
      <c r="H7" s="173">
        <f>+(H2-H4)/H4</f>
        <v>-0.2</v>
      </c>
      <c r="I7" s="174">
        <f>+(I2-I4)/I4</f>
        <v>-0.14749686533486911</v>
      </c>
      <c r="J7" s="174">
        <f>+(J2-J4)/J4</f>
        <v>-0.15079676607718767</v>
      </c>
      <c r="K7" s="174">
        <f>+(K2-K4)/K4</f>
        <v>-0.14098550730174844</v>
      </c>
      <c r="L7" s="174">
        <f>+(L2-L4)/L4</f>
        <v>-0.13196795439708256</v>
      </c>
      <c r="M7" s="72"/>
      <c r="N7" s="72"/>
      <c r="O7" s="72"/>
      <c r="P7" s="72"/>
      <c r="Q7" s="72"/>
      <c r="R7" s="72"/>
      <c r="S7" s="72"/>
      <c r="T7" s="72"/>
      <c r="U7" s="72"/>
    </row>
    <row r="8" spans="1:22" x14ac:dyDescent="0.25">
      <c r="A8" s="87" t="s">
        <v>186</v>
      </c>
      <c r="B8" s="154">
        <v>20</v>
      </c>
      <c r="C8" s="97">
        <f>+($B$8/(100-$B$8))*(L27+(45/60)*C5*1)</f>
        <v>15.164285714285715</v>
      </c>
      <c r="D8" s="97">
        <f>+($B$8/(100-$B$8))*(M27+(45/60)*D5*2)</f>
        <v>28.378571428571426</v>
      </c>
      <c r="E8" s="97">
        <f>+($B$8/(100-$B$8))*(M27+(45/60)*E5*2)</f>
        <v>28.378571428571426</v>
      </c>
      <c r="F8" s="97">
        <f>+($B$8/(100-$B$8))*(M27+(45/60)*F5*2)</f>
        <v>28.378571428571426</v>
      </c>
      <c r="H8" s="173">
        <f>+(H3-H4)/H4</f>
        <v>-0.1</v>
      </c>
      <c r="I8" s="174">
        <f>+(I3-I4)/I4</f>
        <v>-7.3748432667434555E-2</v>
      </c>
      <c r="J8" s="174">
        <f>+(J3-J4)/J4</f>
        <v>-7.5398383038593836E-2</v>
      </c>
      <c r="K8" s="174">
        <f>+(K3-K4)/K4</f>
        <v>-7.0492753650874221E-2</v>
      </c>
      <c r="L8" s="174">
        <f>+(L3-L4)/L4</f>
        <v>-6.598397719854128E-2</v>
      </c>
      <c r="M8" s="72"/>
      <c r="N8" s="72"/>
      <c r="O8" s="72"/>
      <c r="P8" s="72"/>
      <c r="Q8" s="72"/>
      <c r="R8" s="72"/>
      <c r="S8" s="72"/>
      <c r="T8" s="72"/>
      <c r="U8" s="72"/>
    </row>
    <row r="9" spans="1:22" x14ac:dyDescent="0.25">
      <c r="A9" s="248" t="s">
        <v>80</v>
      </c>
      <c r="B9" s="248"/>
      <c r="C9" s="98">
        <f>+C7+C8</f>
        <v>90.964285714285708</v>
      </c>
      <c r="D9" s="98">
        <f>+D7+D8</f>
        <v>186.8452380952381</v>
      </c>
      <c r="E9" s="98">
        <f>+E7+E8</f>
        <v>264.90857142857141</v>
      </c>
      <c r="F9" s="98">
        <f>+F7+F8</f>
        <v>290.98857142857145</v>
      </c>
      <c r="H9" s="173">
        <f>+(H5-H4)/H4</f>
        <v>0.1</v>
      </c>
      <c r="I9" s="174">
        <f>+(I5-I4)/I4</f>
        <v>7.3748432667434555E-2</v>
      </c>
      <c r="J9" s="174">
        <f>+(J5-J4)/J4</f>
        <v>7.5398383038593836E-2</v>
      </c>
      <c r="K9" s="174">
        <f>+(K5-K4)/K4</f>
        <v>7.0492753650874221E-2</v>
      </c>
      <c r="L9" s="174">
        <f>+(L5-L4)/L4</f>
        <v>6.598397719854128E-2</v>
      </c>
      <c r="M9" s="72"/>
      <c r="N9" s="72"/>
      <c r="O9" s="72"/>
      <c r="P9" s="72"/>
      <c r="Q9" s="72"/>
      <c r="R9" s="72"/>
      <c r="S9" s="72"/>
      <c r="T9" s="72"/>
      <c r="U9" s="72"/>
    </row>
    <row r="10" spans="1:22" x14ac:dyDescent="0.25">
      <c r="A10" s="87" t="s">
        <v>1</v>
      </c>
      <c r="B10" s="87" t="s">
        <v>54</v>
      </c>
      <c r="C10" s="96">
        <f>+Synthèse!C$14</f>
        <v>26.386399999999998</v>
      </c>
      <c r="D10" s="96">
        <f>+Synthèse!D$14</f>
        <v>62.480150000000002</v>
      </c>
      <c r="E10" s="96">
        <f>+Synthèse!E$14</f>
        <v>43.43708749999999</v>
      </c>
      <c r="F10" s="96">
        <f>+Synthèse!F$14</f>
        <v>74.772815000000008</v>
      </c>
      <c r="I10" s="74"/>
      <c r="J10" s="74"/>
      <c r="K10" s="74"/>
      <c r="L10" s="74"/>
      <c r="M10" s="72"/>
      <c r="N10" s="72"/>
      <c r="O10" s="72"/>
      <c r="P10" s="72"/>
      <c r="Q10" s="72"/>
      <c r="R10" s="72"/>
      <c r="S10" s="72"/>
      <c r="T10" s="72"/>
      <c r="U10" s="72"/>
    </row>
    <row r="11" spans="1:22" ht="15" customHeight="1" x14ac:dyDescent="0.25">
      <c r="A11" s="249" t="s">
        <v>189</v>
      </c>
      <c r="B11" s="249"/>
      <c r="C11" s="98">
        <f>+C9+C10</f>
        <v>117.3506857142857</v>
      </c>
      <c r="D11" s="98">
        <f>+D9+D10</f>
        <v>249.32538809523811</v>
      </c>
      <c r="E11" s="98">
        <f>+E9+E10</f>
        <v>308.34565892857142</v>
      </c>
      <c r="F11" s="98">
        <f>+F9+F10</f>
        <v>365.76138642857143</v>
      </c>
      <c r="I11" s="71"/>
      <c r="J11" s="71"/>
      <c r="K11" s="71"/>
      <c r="L11" s="71"/>
      <c r="M11" s="72"/>
      <c r="N11" s="72"/>
      <c r="O11" s="72"/>
      <c r="P11" s="72"/>
      <c r="Q11" s="72"/>
      <c r="R11" s="72"/>
      <c r="S11" s="72"/>
      <c r="T11" s="72"/>
      <c r="U11" s="72"/>
    </row>
    <row r="12" spans="1:22" ht="22.5" customHeight="1" x14ac:dyDescent="0.25">
      <c r="A12" s="73"/>
      <c r="B12" s="73"/>
      <c r="C12" s="73"/>
      <c r="D12" s="73"/>
      <c r="E12" s="73"/>
    </row>
    <row r="13" spans="1:22" ht="24" customHeight="1" x14ac:dyDescent="0.25">
      <c r="A13" s="94" t="s">
        <v>37</v>
      </c>
      <c r="B13" s="94" t="s">
        <v>63</v>
      </c>
      <c r="C13" s="95" t="s">
        <v>57</v>
      </c>
      <c r="D13" s="95" t="s">
        <v>64</v>
      </c>
      <c r="E13" s="95" t="s">
        <v>59</v>
      </c>
      <c r="F13" s="95" t="s">
        <v>58</v>
      </c>
    </row>
    <row r="14" spans="1:22" x14ac:dyDescent="0.25">
      <c r="A14" s="245" t="s">
        <v>0</v>
      </c>
      <c r="B14" s="177" t="s">
        <v>54</v>
      </c>
      <c r="C14" s="186">
        <f>+Synthèse!C$4</f>
        <v>7.8000000000000007</v>
      </c>
      <c r="D14" s="186">
        <f>+Synthèse!D$4</f>
        <v>7.8000000000000007</v>
      </c>
      <c r="E14" s="186">
        <f>+Synthèse!E$4</f>
        <v>7.8000000000000007</v>
      </c>
      <c r="F14" s="186">
        <f>+Synthèse!F$4</f>
        <v>7.8000000000000007</v>
      </c>
    </row>
    <row r="15" spans="1:22" x14ac:dyDescent="0.25">
      <c r="A15" s="246"/>
      <c r="B15" s="177" t="s">
        <v>85</v>
      </c>
      <c r="C15" s="187">
        <f>+Synthèse!C$5</f>
        <v>0</v>
      </c>
      <c r="D15" s="187">
        <f>+Synthèse!D$5</f>
        <v>0</v>
      </c>
      <c r="E15" s="187">
        <f>+Synthèse!E$5</f>
        <v>52.73</v>
      </c>
      <c r="F15" s="187">
        <f>+Synthèse!F$5</f>
        <v>58.81</v>
      </c>
    </row>
    <row r="16" spans="1:22" x14ac:dyDescent="0.25">
      <c r="A16" s="247" t="s">
        <v>92</v>
      </c>
      <c r="B16" s="177" t="s">
        <v>185</v>
      </c>
      <c r="C16" s="188">
        <f>+Synthèse!C$8</f>
        <v>102</v>
      </c>
      <c r="D16" s="188">
        <f>+Synthèse!D$8</f>
        <v>226</v>
      </c>
      <c r="E16" s="188">
        <f>+Synthèse!E$8</f>
        <v>264</v>
      </c>
      <c r="F16" s="188">
        <f>+Synthèse!F$8</f>
        <v>294</v>
      </c>
    </row>
    <row r="17" spans="1:13" x14ac:dyDescent="0.25">
      <c r="A17" s="247"/>
      <c r="B17" s="177" t="s">
        <v>51</v>
      </c>
      <c r="C17" s="178">
        <v>45</v>
      </c>
      <c r="D17" s="178">
        <f>+C17</f>
        <v>45</v>
      </c>
      <c r="E17" s="178">
        <f>+C17</f>
        <v>45</v>
      </c>
      <c r="F17" s="178">
        <f>+C17</f>
        <v>45</v>
      </c>
    </row>
    <row r="18" spans="1:13" x14ac:dyDescent="0.25">
      <c r="A18" s="247"/>
      <c r="B18" s="177" t="s">
        <v>54</v>
      </c>
      <c r="C18" s="96">
        <f>+C16/60*C17</f>
        <v>76.5</v>
      </c>
      <c r="D18" s="96">
        <f>+D16/60*D17</f>
        <v>169.5</v>
      </c>
      <c r="E18" s="96">
        <f>+E16/60*E17</f>
        <v>198.00000000000003</v>
      </c>
      <c r="F18" s="96">
        <f>+F16/60*F17</f>
        <v>220.50000000000003</v>
      </c>
    </row>
    <row r="19" spans="1:13" x14ac:dyDescent="0.25">
      <c r="A19" s="248" t="s">
        <v>156</v>
      </c>
      <c r="B19" s="248"/>
      <c r="C19" s="98">
        <f>+C14+C15+C18</f>
        <v>84.3</v>
      </c>
      <c r="D19" s="98">
        <f>+D14+D15+D18</f>
        <v>177.3</v>
      </c>
      <c r="E19" s="98">
        <f>+E14+E15+E18</f>
        <v>258.53000000000003</v>
      </c>
      <c r="F19" s="98">
        <f>+F14+F15+F18</f>
        <v>287.11</v>
      </c>
    </row>
    <row r="20" spans="1:13" x14ac:dyDescent="0.25">
      <c r="A20" s="87" t="s">
        <v>186</v>
      </c>
      <c r="B20" s="154">
        <v>20</v>
      </c>
      <c r="C20" s="97">
        <f>+($B$20/(100-$B$20))*(L35+(45/60)*C17*1)</f>
        <v>16.81607142857143</v>
      </c>
      <c r="D20" s="97">
        <f>+($B$20/(100-$B$20))*(M35+(45/60)*D17*2)</f>
        <v>31.682142857142857</v>
      </c>
      <c r="E20" s="97">
        <f>+($B$20/(100-$B$20))*(M35+(45/60)*E17*2)</f>
        <v>31.682142857142857</v>
      </c>
      <c r="F20" s="97">
        <f>+($B$20/(100-$B$20))*(M35+(45/60)*F17*2)</f>
        <v>31.682142857142857</v>
      </c>
    </row>
    <row r="21" spans="1:13" ht="13.8" x14ac:dyDescent="0.25">
      <c r="A21" s="248" t="s">
        <v>80</v>
      </c>
      <c r="B21" s="248"/>
      <c r="C21" s="98">
        <f>+C19+C20</f>
        <v>101.11607142857143</v>
      </c>
      <c r="D21" s="98">
        <f>+D19+D20</f>
        <v>208.98214285714286</v>
      </c>
      <c r="E21" s="98">
        <f>+E19+E20</f>
        <v>290.21214285714291</v>
      </c>
      <c r="F21" s="98">
        <f>+F19+F20</f>
        <v>318.79214285714289</v>
      </c>
      <c r="I21" s="150" t="s">
        <v>37</v>
      </c>
      <c r="J21" s="151" t="s">
        <v>43</v>
      </c>
      <c r="K21" s="150" t="s">
        <v>45</v>
      </c>
      <c r="L21" s="150" t="s">
        <v>55</v>
      </c>
      <c r="M21" s="150" t="s">
        <v>56</v>
      </c>
    </row>
    <row r="22" spans="1:13" ht="13.8" x14ac:dyDescent="0.25">
      <c r="A22" s="87" t="s">
        <v>1</v>
      </c>
      <c r="B22" s="87" t="s">
        <v>54</v>
      </c>
      <c r="C22" s="96">
        <f>+Synthèse!C$14</f>
        <v>26.386399999999998</v>
      </c>
      <c r="D22" s="96">
        <f>+Synthèse!D$14</f>
        <v>62.480150000000002</v>
      </c>
      <c r="E22" s="96">
        <f>+Synthèse!E$14</f>
        <v>43.43708749999999</v>
      </c>
      <c r="F22" s="96">
        <f>+Synthèse!F$14</f>
        <v>74.772815000000008</v>
      </c>
      <c r="I22" s="182" t="s">
        <v>167</v>
      </c>
      <c r="J22" s="183"/>
      <c r="K22" s="24">
        <v>0.39</v>
      </c>
      <c r="L22" s="250">
        <f>+K22*J23</f>
        <v>7.8000000000000007</v>
      </c>
      <c r="M22" s="250">
        <f>+L22</f>
        <v>7.8000000000000007</v>
      </c>
    </row>
    <row r="23" spans="1:13" ht="15" customHeight="1" x14ac:dyDescent="0.25">
      <c r="A23" s="249" t="s">
        <v>189</v>
      </c>
      <c r="B23" s="249"/>
      <c r="C23" s="98">
        <f>+C21+C22</f>
        <v>127.50247142857143</v>
      </c>
      <c r="D23" s="98">
        <f>+D21+D22</f>
        <v>271.46229285714287</v>
      </c>
      <c r="E23" s="98">
        <f>+E21+E22</f>
        <v>333.64923035714287</v>
      </c>
      <c r="F23" s="98">
        <f>+F21+F22</f>
        <v>393.56495785714287</v>
      </c>
      <c r="I23" s="184" t="s">
        <v>46</v>
      </c>
      <c r="J23" s="25">
        <v>20</v>
      </c>
      <c r="K23" s="185"/>
      <c r="L23" s="251"/>
      <c r="M23" s="251"/>
    </row>
    <row r="24" spans="1:13" ht="22.5" customHeight="1" x14ac:dyDescent="0.25">
      <c r="I24" s="184" t="s">
        <v>151</v>
      </c>
      <c r="J24" s="183"/>
      <c r="K24" s="24">
        <f>40/60</f>
        <v>0.66666666666666663</v>
      </c>
      <c r="L24" s="250">
        <f>+K24*J26</f>
        <v>22.857142857142854</v>
      </c>
      <c r="M24" s="250">
        <f>+L24*2</f>
        <v>45.714285714285708</v>
      </c>
    </row>
    <row r="25" spans="1:13" ht="24" customHeight="1" x14ac:dyDescent="0.25">
      <c r="A25" s="94" t="s">
        <v>37</v>
      </c>
      <c r="B25" s="94" t="s">
        <v>63</v>
      </c>
      <c r="C25" s="95" t="s">
        <v>57</v>
      </c>
      <c r="D25" s="95" t="s">
        <v>64</v>
      </c>
      <c r="E25" s="95" t="s">
        <v>59</v>
      </c>
      <c r="F25" s="95" t="s">
        <v>58</v>
      </c>
      <c r="I25" s="184" t="s">
        <v>42</v>
      </c>
      <c r="J25" s="175">
        <v>35</v>
      </c>
      <c r="K25" s="184"/>
      <c r="L25" s="252"/>
      <c r="M25" s="252"/>
    </row>
    <row r="26" spans="1:13" ht="13.8" x14ac:dyDescent="0.25">
      <c r="A26" s="245" t="s">
        <v>0</v>
      </c>
      <c r="B26" s="177" t="s">
        <v>54</v>
      </c>
      <c r="C26" s="186">
        <f>+Synthèse!C$4</f>
        <v>7.8000000000000007</v>
      </c>
      <c r="D26" s="186">
        <f>+Synthèse!D$4</f>
        <v>7.8000000000000007</v>
      </c>
      <c r="E26" s="186">
        <f>+Synthèse!E$4</f>
        <v>7.8000000000000007</v>
      </c>
      <c r="F26" s="186">
        <f>+Synthèse!F$4</f>
        <v>7.8000000000000007</v>
      </c>
      <c r="I26" s="184" t="s">
        <v>47</v>
      </c>
      <c r="J26" s="25">
        <f>+J23*60/J25</f>
        <v>34.285714285714285</v>
      </c>
      <c r="K26" s="184"/>
      <c r="L26" s="251"/>
      <c r="M26" s="251"/>
    </row>
    <row r="27" spans="1:13" ht="13.8" x14ac:dyDescent="0.25">
      <c r="A27" s="246"/>
      <c r="B27" s="177" t="s">
        <v>85</v>
      </c>
      <c r="C27" s="187">
        <f>+Synthèse!C$5</f>
        <v>0</v>
      </c>
      <c r="D27" s="187">
        <f>+Synthèse!D$5</f>
        <v>0</v>
      </c>
      <c r="E27" s="187">
        <f>+Synthèse!E$5</f>
        <v>52.73</v>
      </c>
      <c r="F27" s="187">
        <f>+Synthèse!F$5</f>
        <v>58.81</v>
      </c>
      <c r="I27" s="22" t="s">
        <v>38</v>
      </c>
      <c r="J27" s="22"/>
      <c r="K27" s="22"/>
      <c r="L27" s="28">
        <f>SUM(L22:L26)</f>
        <v>30.657142857142855</v>
      </c>
      <c r="M27" s="28">
        <f>SUM(M22:M26)</f>
        <v>53.514285714285705</v>
      </c>
    </row>
    <row r="28" spans="1:13" x14ac:dyDescent="0.25">
      <c r="A28" s="247" t="s">
        <v>92</v>
      </c>
      <c r="B28" s="177" t="s">
        <v>185</v>
      </c>
      <c r="C28" s="188">
        <f>+Synthèse!C$8</f>
        <v>102</v>
      </c>
      <c r="D28" s="188">
        <f>+Synthèse!D$8</f>
        <v>226</v>
      </c>
      <c r="E28" s="188">
        <f>+Synthèse!E$8</f>
        <v>264</v>
      </c>
      <c r="F28" s="188">
        <f>+Synthèse!F$8</f>
        <v>294</v>
      </c>
    </row>
    <row r="29" spans="1:13" ht="13.8" x14ac:dyDescent="0.25">
      <c r="A29" s="247"/>
      <c r="B29" s="177" t="s">
        <v>51</v>
      </c>
      <c r="C29" s="178">
        <v>50</v>
      </c>
      <c r="D29" s="178">
        <f>+C29</f>
        <v>50</v>
      </c>
      <c r="E29" s="178">
        <f>+C29</f>
        <v>50</v>
      </c>
      <c r="F29" s="178">
        <f>+C29</f>
        <v>50</v>
      </c>
      <c r="I29" s="150" t="s">
        <v>37</v>
      </c>
      <c r="J29" s="151" t="s">
        <v>43</v>
      </c>
      <c r="K29" s="150" t="s">
        <v>45</v>
      </c>
      <c r="L29" s="150" t="s">
        <v>55</v>
      </c>
      <c r="M29" s="150" t="s">
        <v>56</v>
      </c>
    </row>
    <row r="30" spans="1:13" ht="13.8" x14ac:dyDescent="0.25">
      <c r="A30" s="247"/>
      <c r="B30" s="177" t="s">
        <v>54</v>
      </c>
      <c r="C30" s="96">
        <f>+C28/60*C29</f>
        <v>85</v>
      </c>
      <c r="D30" s="96">
        <f>+D28/60*D29</f>
        <v>188.33333333333334</v>
      </c>
      <c r="E30" s="96">
        <f>+E28/60*E29</f>
        <v>220.00000000000003</v>
      </c>
      <c r="F30" s="96">
        <f>+F28/60*F29</f>
        <v>245.00000000000003</v>
      </c>
      <c r="I30" s="182" t="s">
        <v>167</v>
      </c>
      <c r="J30" s="183"/>
      <c r="K30" s="24">
        <v>0.39</v>
      </c>
      <c r="L30" s="250">
        <f>+K30*J31</f>
        <v>7.8000000000000007</v>
      </c>
      <c r="M30" s="250">
        <f>+L30</f>
        <v>7.8000000000000007</v>
      </c>
    </row>
    <row r="31" spans="1:13" ht="13.8" x14ac:dyDescent="0.25">
      <c r="A31" s="248" t="s">
        <v>156</v>
      </c>
      <c r="B31" s="248"/>
      <c r="C31" s="98">
        <f>+C26+C27+C30</f>
        <v>92.8</v>
      </c>
      <c r="D31" s="98">
        <f>+D26+D27+D30</f>
        <v>196.13333333333335</v>
      </c>
      <c r="E31" s="98">
        <f>+E26+E27+E30</f>
        <v>280.53000000000003</v>
      </c>
      <c r="F31" s="98">
        <f>+F26+F27+F30</f>
        <v>311.61</v>
      </c>
      <c r="I31" s="184" t="s">
        <v>46</v>
      </c>
      <c r="J31" s="25">
        <v>20</v>
      </c>
      <c r="K31" s="185"/>
      <c r="L31" s="251"/>
      <c r="M31" s="251"/>
    </row>
    <row r="32" spans="1:13" ht="13.8" x14ac:dyDescent="0.25">
      <c r="A32" s="87" t="s">
        <v>89</v>
      </c>
      <c r="B32" s="154">
        <v>20</v>
      </c>
      <c r="C32" s="97">
        <f>+Synthèse!C$12</f>
        <v>18.467857142857142</v>
      </c>
      <c r="D32" s="97">
        <f>+Synthèse!D$12</f>
        <v>34.985714285714288</v>
      </c>
      <c r="E32" s="97">
        <f>+Synthèse!E$12</f>
        <v>34.985714285714288</v>
      </c>
      <c r="F32" s="97">
        <f>+Synthèse!F$12</f>
        <v>34.985714285714288</v>
      </c>
      <c r="I32" s="184" t="s">
        <v>152</v>
      </c>
      <c r="J32" s="183"/>
      <c r="K32" s="24">
        <f>45/60</f>
        <v>0.75</v>
      </c>
      <c r="L32" s="250">
        <f>+K32*J34</f>
        <v>25.714285714285715</v>
      </c>
      <c r="M32" s="250">
        <f>+L32*2</f>
        <v>51.428571428571431</v>
      </c>
    </row>
    <row r="33" spans="1:13" ht="13.8" x14ac:dyDescent="0.25">
      <c r="A33" s="248" t="s">
        <v>80</v>
      </c>
      <c r="B33" s="248"/>
      <c r="C33" s="98">
        <f>+C31+C32</f>
        <v>111.26785714285714</v>
      </c>
      <c r="D33" s="98">
        <f>+D31+D32</f>
        <v>231.11904761904765</v>
      </c>
      <c r="E33" s="98">
        <f>+E31+E32</f>
        <v>315.5157142857143</v>
      </c>
      <c r="F33" s="98">
        <f>+F31+F32</f>
        <v>346.59571428571428</v>
      </c>
      <c r="I33" s="184" t="s">
        <v>42</v>
      </c>
      <c r="J33" s="175">
        <v>35</v>
      </c>
      <c r="K33" s="184"/>
      <c r="L33" s="252"/>
      <c r="M33" s="252"/>
    </row>
    <row r="34" spans="1:13" ht="13.8" x14ac:dyDescent="0.25">
      <c r="A34" s="87" t="s">
        <v>1</v>
      </c>
      <c r="B34" s="87" t="s">
        <v>54</v>
      </c>
      <c r="C34" s="96">
        <f>+Synthèse!C$14</f>
        <v>26.386399999999998</v>
      </c>
      <c r="D34" s="96">
        <f>+Synthèse!D$14</f>
        <v>62.480150000000002</v>
      </c>
      <c r="E34" s="96">
        <f>+Synthèse!E$14</f>
        <v>43.43708749999999</v>
      </c>
      <c r="F34" s="96">
        <f>+Synthèse!F$14</f>
        <v>74.772815000000008</v>
      </c>
      <c r="I34" s="184" t="s">
        <v>47</v>
      </c>
      <c r="J34" s="25">
        <f>+J31*60/J33</f>
        <v>34.285714285714285</v>
      </c>
      <c r="K34" s="184"/>
      <c r="L34" s="251"/>
      <c r="M34" s="251"/>
    </row>
    <row r="35" spans="1:13" ht="15" customHeight="1" x14ac:dyDescent="0.25">
      <c r="A35" s="249" t="s">
        <v>189</v>
      </c>
      <c r="B35" s="249"/>
      <c r="C35" s="98">
        <f>+C33+C34</f>
        <v>137.65425714285715</v>
      </c>
      <c r="D35" s="98">
        <f>+D33+D34</f>
        <v>293.59919761904763</v>
      </c>
      <c r="E35" s="98">
        <f>+E33+E34</f>
        <v>358.95280178571431</v>
      </c>
      <c r="F35" s="98">
        <f>+F33+F34</f>
        <v>421.36852928571432</v>
      </c>
      <c r="I35" s="22" t="s">
        <v>38</v>
      </c>
      <c r="J35" s="22"/>
      <c r="K35" s="22"/>
      <c r="L35" s="28">
        <f>SUM(L30:L34)</f>
        <v>33.51428571428572</v>
      </c>
      <c r="M35" s="28">
        <f>SUM(M30:M34)</f>
        <v>59.228571428571428</v>
      </c>
    </row>
    <row r="36" spans="1:13" ht="22.5" customHeight="1" x14ac:dyDescent="0.25"/>
    <row r="37" spans="1:13" ht="24" customHeight="1" x14ac:dyDescent="0.25">
      <c r="A37" s="94" t="s">
        <v>37</v>
      </c>
      <c r="B37" s="94" t="s">
        <v>63</v>
      </c>
      <c r="C37" s="95" t="s">
        <v>57</v>
      </c>
      <c r="D37" s="95" t="s">
        <v>64</v>
      </c>
      <c r="E37" s="95" t="s">
        <v>59</v>
      </c>
      <c r="F37" s="95" t="s">
        <v>58</v>
      </c>
      <c r="I37" s="150" t="s">
        <v>37</v>
      </c>
      <c r="J37" s="151" t="s">
        <v>43</v>
      </c>
      <c r="K37" s="150" t="s">
        <v>45</v>
      </c>
      <c r="L37" s="150" t="s">
        <v>55</v>
      </c>
      <c r="M37" s="150" t="s">
        <v>56</v>
      </c>
    </row>
    <row r="38" spans="1:13" ht="13.8" x14ac:dyDescent="0.25">
      <c r="A38" s="245" t="s">
        <v>0</v>
      </c>
      <c r="B38" s="177" t="s">
        <v>54</v>
      </c>
      <c r="C38" s="186">
        <f>+Synthèse!C$4</f>
        <v>7.8000000000000007</v>
      </c>
      <c r="D38" s="186">
        <f>+Synthèse!D$4</f>
        <v>7.8000000000000007</v>
      </c>
      <c r="E38" s="186">
        <f>+Synthèse!E$4</f>
        <v>7.8000000000000007</v>
      </c>
      <c r="F38" s="186">
        <f>+Synthèse!F$4</f>
        <v>7.8000000000000007</v>
      </c>
      <c r="I38" s="182" t="s">
        <v>167</v>
      </c>
      <c r="J38" s="183"/>
      <c r="K38" s="24">
        <v>0.39</v>
      </c>
      <c r="L38" s="250">
        <f>+K38*J39</f>
        <v>7.8000000000000007</v>
      </c>
      <c r="M38" s="250">
        <f>+L38</f>
        <v>7.8000000000000007</v>
      </c>
    </row>
    <row r="39" spans="1:13" ht="13.8" x14ac:dyDescent="0.25">
      <c r="A39" s="246"/>
      <c r="B39" s="177" t="s">
        <v>85</v>
      </c>
      <c r="C39" s="187">
        <f>+Synthèse!C$5</f>
        <v>0</v>
      </c>
      <c r="D39" s="187">
        <f>+Synthèse!D$5</f>
        <v>0</v>
      </c>
      <c r="E39" s="187">
        <f>+Synthèse!E$5</f>
        <v>52.73</v>
      </c>
      <c r="F39" s="187">
        <f>+Synthèse!F$5</f>
        <v>58.81</v>
      </c>
      <c r="I39" s="184" t="s">
        <v>46</v>
      </c>
      <c r="J39" s="25">
        <v>20</v>
      </c>
      <c r="K39" s="185"/>
      <c r="L39" s="251"/>
      <c r="M39" s="251"/>
    </row>
    <row r="40" spans="1:13" ht="13.8" x14ac:dyDescent="0.25">
      <c r="A40" s="247" t="s">
        <v>92</v>
      </c>
      <c r="B40" s="177" t="s">
        <v>185</v>
      </c>
      <c r="C40" s="188">
        <f>+Synthèse!C$8</f>
        <v>102</v>
      </c>
      <c r="D40" s="188">
        <f>+Synthèse!D$8</f>
        <v>226</v>
      </c>
      <c r="E40" s="188">
        <f>+Synthèse!E$8</f>
        <v>264</v>
      </c>
      <c r="F40" s="188">
        <f>+Synthèse!F$8</f>
        <v>294</v>
      </c>
      <c r="I40" s="184" t="s">
        <v>153</v>
      </c>
      <c r="J40" s="183"/>
      <c r="K40" s="24">
        <f>55/60</f>
        <v>0.91666666666666663</v>
      </c>
      <c r="L40" s="250">
        <f>+K40*J42</f>
        <v>31.428571428571427</v>
      </c>
      <c r="M40" s="250">
        <f>+L40*2</f>
        <v>62.857142857142854</v>
      </c>
    </row>
    <row r="41" spans="1:13" ht="13.8" x14ac:dyDescent="0.25">
      <c r="A41" s="247"/>
      <c r="B41" s="177" t="s">
        <v>51</v>
      </c>
      <c r="C41" s="178">
        <v>55</v>
      </c>
      <c r="D41" s="178">
        <f>+C41</f>
        <v>55</v>
      </c>
      <c r="E41" s="178">
        <f>+C41</f>
        <v>55</v>
      </c>
      <c r="F41" s="178">
        <f>+C41</f>
        <v>55</v>
      </c>
      <c r="I41" s="184" t="s">
        <v>42</v>
      </c>
      <c r="J41" s="175">
        <v>35</v>
      </c>
      <c r="K41" s="184"/>
      <c r="L41" s="252"/>
      <c r="M41" s="252"/>
    </row>
    <row r="42" spans="1:13" ht="13.8" x14ac:dyDescent="0.25">
      <c r="A42" s="247"/>
      <c r="B42" s="177" t="s">
        <v>54</v>
      </c>
      <c r="C42" s="96">
        <f>+C40/60*C41</f>
        <v>93.5</v>
      </c>
      <c r="D42" s="96">
        <f>+D40/60*D41</f>
        <v>207.16666666666666</v>
      </c>
      <c r="E42" s="96">
        <f>+E40/60*E41</f>
        <v>242.00000000000003</v>
      </c>
      <c r="F42" s="96">
        <f>+F40/60*F41</f>
        <v>269.5</v>
      </c>
      <c r="I42" s="184" t="s">
        <v>47</v>
      </c>
      <c r="J42" s="25">
        <f>+J39*60/J41</f>
        <v>34.285714285714285</v>
      </c>
      <c r="K42" s="184"/>
      <c r="L42" s="251"/>
      <c r="M42" s="251"/>
    </row>
    <row r="43" spans="1:13" ht="13.8" x14ac:dyDescent="0.25">
      <c r="A43" s="248" t="s">
        <v>156</v>
      </c>
      <c r="B43" s="248"/>
      <c r="C43" s="98">
        <f>+C38+C39+C42</f>
        <v>101.3</v>
      </c>
      <c r="D43" s="98">
        <f>+D38+D39+D42</f>
        <v>214.96666666666667</v>
      </c>
      <c r="E43" s="98">
        <f>+E38+E39+E42</f>
        <v>302.53000000000003</v>
      </c>
      <c r="F43" s="98">
        <f>+F38+F39+F42</f>
        <v>336.11</v>
      </c>
      <c r="I43" s="22" t="s">
        <v>38</v>
      </c>
      <c r="J43" s="22"/>
      <c r="K43" s="22"/>
      <c r="L43" s="28">
        <f>SUM(L38:L42)</f>
        <v>39.228571428571428</v>
      </c>
      <c r="M43" s="28">
        <f>SUM(M38:M42)</f>
        <v>70.657142857142858</v>
      </c>
    </row>
    <row r="44" spans="1:13" x14ac:dyDescent="0.25">
      <c r="A44" s="87" t="s">
        <v>186</v>
      </c>
      <c r="B44" s="154">
        <v>20</v>
      </c>
      <c r="C44" s="97">
        <f>+($B$44/(100-$B$44))*(L43+(45/60)*C41*1)</f>
        <v>20.119642857142857</v>
      </c>
      <c r="D44" s="97">
        <f>+($B$44/(100-$B$44))*(M43+(45/60)*D41*2)</f>
        <v>38.289285714285711</v>
      </c>
      <c r="E44" s="97">
        <f>+($B$44/(100-$B$44))*(M43+(45/60)*E41*2)</f>
        <v>38.289285714285711</v>
      </c>
      <c r="F44" s="97">
        <f>+($B$44/(100-$B$44))*(M43+(45/60)*F41*2)</f>
        <v>38.289285714285711</v>
      </c>
    </row>
    <row r="45" spans="1:13" x14ac:dyDescent="0.25">
      <c r="A45" s="248" t="s">
        <v>80</v>
      </c>
      <c r="B45" s="248"/>
      <c r="C45" s="98">
        <f>+C43+C44</f>
        <v>121.41964285714286</v>
      </c>
      <c r="D45" s="98">
        <f>+D43+D44</f>
        <v>253.25595238095238</v>
      </c>
      <c r="E45" s="98">
        <f>+E43+E44</f>
        <v>340.81928571428574</v>
      </c>
      <c r="F45" s="98">
        <f>+F43+F44</f>
        <v>374.39928571428572</v>
      </c>
    </row>
    <row r="46" spans="1:13" x14ac:dyDescent="0.25">
      <c r="A46" s="87" t="s">
        <v>1</v>
      </c>
      <c r="B46" s="87" t="s">
        <v>54</v>
      </c>
      <c r="C46" s="96">
        <f>+Synthèse!C$14</f>
        <v>26.386399999999998</v>
      </c>
      <c r="D46" s="96">
        <f>+Synthèse!D$14</f>
        <v>62.480150000000002</v>
      </c>
      <c r="E46" s="96">
        <f>+Synthèse!E$14</f>
        <v>43.43708749999999</v>
      </c>
      <c r="F46" s="96">
        <f>+Synthèse!F$14</f>
        <v>74.772815000000008</v>
      </c>
    </row>
    <row r="47" spans="1:13" ht="15" customHeight="1" x14ac:dyDescent="0.25">
      <c r="A47" s="249" t="s">
        <v>189</v>
      </c>
      <c r="B47" s="249"/>
      <c r="C47" s="98">
        <f>+C45+C46</f>
        <v>147.80604285714287</v>
      </c>
      <c r="D47" s="98">
        <f>+D45+D46</f>
        <v>315.73610238095239</v>
      </c>
      <c r="E47" s="98">
        <f>+E45+E46</f>
        <v>384.25637321428576</v>
      </c>
      <c r="F47" s="98">
        <f>+F45+F46</f>
        <v>449.17210071428576</v>
      </c>
    </row>
  </sheetData>
  <mergeCells count="32">
    <mergeCell ref="L30:L31"/>
    <mergeCell ref="M30:M31"/>
    <mergeCell ref="L32:L34"/>
    <mergeCell ref="M32:M34"/>
    <mergeCell ref="L38:L39"/>
    <mergeCell ref="M38:M39"/>
    <mergeCell ref="L22:L23"/>
    <mergeCell ref="M22:M23"/>
    <mergeCell ref="L24:L26"/>
    <mergeCell ref="M24:M26"/>
    <mergeCell ref="A47:B47"/>
    <mergeCell ref="A33:B33"/>
    <mergeCell ref="A35:B35"/>
    <mergeCell ref="A38:A39"/>
    <mergeCell ref="A40:A42"/>
    <mergeCell ref="A43:B43"/>
    <mergeCell ref="A45:B45"/>
    <mergeCell ref="A26:A27"/>
    <mergeCell ref="A28:A30"/>
    <mergeCell ref="A31:B31"/>
    <mergeCell ref="L40:L42"/>
    <mergeCell ref="M40:M42"/>
    <mergeCell ref="A16:A18"/>
    <mergeCell ref="A19:B19"/>
    <mergeCell ref="A21:B21"/>
    <mergeCell ref="A23:B23"/>
    <mergeCell ref="A14:A15"/>
    <mergeCell ref="A2:A3"/>
    <mergeCell ref="A4:A6"/>
    <mergeCell ref="A7:B7"/>
    <mergeCell ref="A9:B9"/>
    <mergeCell ref="A11:B11"/>
  </mergeCells>
  <pageMargins left="0.7" right="0.7" top="0.75" bottom="0.75" header="0.3" footer="0.3"/>
  <pageSetup paperSize="9" orientation="portrait" horizontalDpi="4294967294" verticalDpi="4294967294" r:id="rId1"/>
  <ignoredErrors>
    <ignoredError sqref="C2:G5 G10:G18 G25:G47 C9:G9 G8 G20:G24 C7:G7 D6:F6" unlockedFormula="1"/>
    <ignoredError sqref="C10:F19 C25:F31 C22:F22 C33:F43 C45:F47 C24:F24 D23:F23 D21:F21" formula="1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zoomScale="130" zoomScaleNormal="130" workbookViewId="0">
      <selection activeCell="D16" sqref="D16"/>
    </sheetView>
  </sheetViews>
  <sheetFormatPr baseColWidth="10" defaultRowHeight="13.8" x14ac:dyDescent="0.25"/>
  <cols>
    <col min="2" max="2" width="28.5546875" style="14" customWidth="1"/>
    <col min="3" max="6" width="10" style="14" customWidth="1"/>
  </cols>
  <sheetData>
    <row r="1" spans="1:9" x14ac:dyDescent="0.25">
      <c r="B1" s="82" t="s">
        <v>37</v>
      </c>
      <c r="C1" s="81" t="s">
        <v>57</v>
      </c>
      <c r="D1" s="81" t="s">
        <v>64</v>
      </c>
      <c r="E1" s="81" t="s">
        <v>59</v>
      </c>
      <c r="F1" s="81" t="s">
        <v>58</v>
      </c>
    </row>
    <row r="2" spans="1:9" ht="13.2" x14ac:dyDescent="0.25">
      <c r="A2" s="245" t="s">
        <v>125</v>
      </c>
      <c r="B2" s="89" t="s">
        <v>190</v>
      </c>
      <c r="C2" s="88">
        <f>+Synthèse!C11</f>
        <v>92.8</v>
      </c>
      <c r="D2" s="88">
        <f>+Synthèse!D11</f>
        <v>196.13333333333335</v>
      </c>
      <c r="E2" s="88">
        <f>+Synthèse!E11</f>
        <v>280.53000000000003</v>
      </c>
      <c r="F2" s="88">
        <f>+Synthèse!F11</f>
        <v>311.61</v>
      </c>
      <c r="H2" s="118"/>
      <c r="I2" s="118"/>
    </row>
    <row r="3" spans="1:9" ht="13.2" x14ac:dyDescent="0.25">
      <c r="A3" s="253"/>
      <c r="B3" s="117" t="s">
        <v>100</v>
      </c>
      <c r="C3" s="88">
        <f>+Synthèse!C14</f>
        <v>26.386399999999998</v>
      </c>
      <c r="D3" s="88">
        <f>+Synthèse!D14</f>
        <v>62.480150000000002</v>
      </c>
      <c r="E3" s="88">
        <f>+Synthèse!E14</f>
        <v>43.43708749999999</v>
      </c>
      <c r="F3" s="88">
        <f>+Synthèse!F14</f>
        <v>74.772815000000008</v>
      </c>
    </row>
    <row r="4" spans="1:9" ht="13.2" x14ac:dyDescent="0.25">
      <c r="A4" s="246"/>
      <c r="B4" s="117" t="s">
        <v>192</v>
      </c>
      <c r="C4" s="88">
        <f>SUM(C2:C3)</f>
        <v>119.18639999999999</v>
      </c>
      <c r="D4" s="88">
        <f>SUM(D2:D3)</f>
        <v>258.61348333333336</v>
      </c>
      <c r="E4" s="88">
        <f>SUM(E2:E3)</f>
        <v>323.96708750000005</v>
      </c>
      <c r="F4" s="88">
        <f>SUM(F2:F3)</f>
        <v>386.38281500000005</v>
      </c>
    </row>
    <row r="5" spans="1:9" ht="13.2" x14ac:dyDescent="0.25">
      <c r="A5" s="245" t="s">
        <v>127</v>
      </c>
      <c r="B5" s="117" t="s">
        <v>126</v>
      </c>
      <c r="C5" s="88">
        <f>'Techniciens &amp; Véhicule'!D36</f>
        <v>36.371428571428574</v>
      </c>
      <c r="D5" s="88">
        <f>'Techniciens &amp; Véhicule'!E36</f>
        <v>64.94285714285715</v>
      </c>
      <c r="E5" s="88">
        <f>'Techniciens &amp; Véhicule'!E36</f>
        <v>64.94285714285715</v>
      </c>
      <c r="F5" s="88">
        <f>'Techniciens &amp; Véhicule'!E36</f>
        <v>64.94285714285715</v>
      </c>
    </row>
    <row r="6" spans="1:9" ht="13.2" x14ac:dyDescent="0.25">
      <c r="A6" s="253"/>
      <c r="B6" s="117" t="s">
        <v>191</v>
      </c>
      <c r="C6" s="88">
        <f>+Synthèse!C9*Synthèse!C7*0.75</f>
        <v>37.5</v>
      </c>
      <c r="D6" s="88">
        <f>+Synthèse!D9*Synthèse!D7*0.75</f>
        <v>75</v>
      </c>
      <c r="E6" s="88">
        <f>+Synthèse!E9*Synthèse!E7*0.75</f>
        <v>75</v>
      </c>
      <c r="F6" s="88">
        <f>+Synthèse!F9*Synthèse!F7*0.75</f>
        <v>75</v>
      </c>
    </row>
    <row r="7" spans="1:9" ht="13.2" x14ac:dyDescent="0.25">
      <c r="A7" s="246"/>
      <c r="B7" s="117" t="s">
        <v>127</v>
      </c>
      <c r="C7" s="88">
        <f>SUM(C5:C6)</f>
        <v>73.871428571428567</v>
      </c>
      <c r="D7" s="88">
        <f>SUM(D5:D6)</f>
        <v>139.94285714285715</v>
      </c>
      <c r="E7" s="88">
        <f>SUM(E5:E6)</f>
        <v>139.94285714285715</v>
      </c>
      <c r="F7" s="88">
        <f>SUM(F5:F6)</f>
        <v>139.94285714285715</v>
      </c>
    </row>
    <row r="8" spans="1:9" ht="13.2" x14ac:dyDescent="0.25">
      <c r="A8" s="121"/>
      <c r="B8" s="122"/>
      <c r="C8" s="123"/>
      <c r="D8" s="123"/>
      <c r="E8" s="123"/>
      <c r="F8" s="123"/>
    </row>
    <row r="9" spans="1:9" ht="35.25" customHeight="1" x14ac:dyDescent="0.25">
      <c r="B9" s="110" t="s">
        <v>130</v>
      </c>
      <c r="C9" s="110" t="s">
        <v>57</v>
      </c>
      <c r="D9" s="110" t="s">
        <v>64</v>
      </c>
      <c r="E9" s="110" t="s">
        <v>59</v>
      </c>
      <c r="F9" s="110" t="s">
        <v>58</v>
      </c>
    </row>
    <row r="10" spans="1:9" ht="18" customHeight="1" x14ac:dyDescent="0.25">
      <c r="A10" s="254" t="s">
        <v>128</v>
      </c>
      <c r="B10" s="120">
        <v>0</v>
      </c>
      <c r="C10" s="119">
        <f>+$B10/(100-$B10)*C$7</f>
        <v>0</v>
      </c>
      <c r="D10" s="119">
        <f t="shared" ref="D10:F14" si="0">+$B10/(100-$B10)*(D$7)</f>
        <v>0</v>
      </c>
      <c r="E10" s="119">
        <f t="shared" si="0"/>
        <v>0</v>
      </c>
      <c r="F10" s="119">
        <f t="shared" si="0"/>
        <v>0</v>
      </c>
    </row>
    <row r="11" spans="1:9" ht="17.25" customHeight="1" x14ac:dyDescent="0.25">
      <c r="A11" s="254"/>
      <c r="B11" s="120">
        <v>10</v>
      </c>
      <c r="C11" s="119">
        <f>+$B11/(100-$B11)*(C$7)</f>
        <v>8.2079365079365072</v>
      </c>
      <c r="D11" s="119">
        <f t="shared" si="0"/>
        <v>15.549206349206349</v>
      </c>
      <c r="E11" s="119">
        <f t="shared" si="0"/>
        <v>15.549206349206349</v>
      </c>
      <c r="F11" s="119">
        <f t="shared" si="0"/>
        <v>15.549206349206349</v>
      </c>
    </row>
    <row r="12" spans="1:9" ht="16.5" customHeight="1" x14ac:dyDescent="0.25">
      <c r="A12" s="254"/>
      <c r="B12" s="120">
        <v>20</v>
      </c>
      <c r="C12" s="119">
        <f>+$B12/(100-$B12)*(C$7)</f>
        <v>18.467857142857142</v>
      </c>
      <c r="D12" s="119">
        <f t="shared" si="0"/>
        <v>34.985714285714288</v>
      </c>
      <c r="E12" s="119">
        <f t="shared" si="0"/>
        <v>34.985714285714288</v>
      </c>
      <c r="F12" s="119">
        <f t="shared" si="0"/>
        <v>34.985714285714288</v>
      </c>
    </row>
    <row r="13" spans="1:9" ht="16.5" customHeight="1" x14ac:dyDescent="0.25">
      <c r="A13" s="254"/>
      <c r="B13" s="120">
        <v>30</v>
      </c>
      <c r="C13" s="119">
        <f>+$B13/(100-$B13)*(C$7)</f>
        <v>31.659183673469386</v>
      </c>
      <c r="D13" s="119">
        <f t="shared" si="0"/>
        <v>59.97551020408163</v>
      </c>
      <c r="E13" s="119">
        <f t="shared" si="0"/>
        <v>59.97551020408163</v>
      </c>
      <c r="F13" s="119">
        <f t="shared" si="0"/>
        <v>59.97551020408163</v>
      </c>
    </row>
    <row r="14" spans="1:9" ht="20.25" customHeight="1" x14ac:dyDescent="0.25">
      <c r="A14" s="254"/>
      <c r="B14" s="120">
        <v>40</v>
      </c>
      <c r="C14" s="119">
        <f>+$B14/(100-$B14)*(C$7)</f>
        <v>49.24761904761904</v>
      </c>
      <c r="D14" s="119">
        <f t="shared" si="0"/>
        <v>93.295238095238091</v>
      </c>
      <c r="E14" s="119">
        <f t="shared" si="0"/>
        <v>93.295238095238091</v>
      </c>
      <c r="F14" s="119">
        <f t="shared" si="0"/>
        <v>93.295238095238091</v>
      </c>
    </row>
    <row r="15" spans="1:9" ht="13.2" x14ac:dyDescent="0.25">
      <c r="A15" s="254" t="s">
        <v>129</v>
      </c>
      <c r="B15" s="120">
        <f>+B10</f>
        <v>0</v>
      </c>
      <c r="C15" s="88">
        <f>+C$4+C10</f>
        <v>119.18639999999999</v>
      </c>
      <c r="D15" s="88">
        <f t="shared" ref="C15:F17" si="1">+D$4+D10</f>
        <v>258.61348333333336</v>
      </c>
      <c r="E15" s="88">
        <f t="shared" si="1"/>
        <v>323.96708750000005</v>
      </c>
      <c r="F15" s="88">
        <f t="shared" si="1"/>
        <v>386.38281500000005</v>
      </c>
    </row>
    <row r="16" spans="1:9" ht="13.2" x14ac:dyDescent="0.25">
      <c r="A16" s="254"/>
      <c r="B16" s="120">
        <f>+B11</f>
        <v>10</v>
      </c>
      <c r="C16" s="88">
        <f>+C$4+C11</f>
        <v>127.3943365079365</v>
      </c>
      <c r="D16" s="88">
        <f t="shared" si="1"/>
        <v>274.16268968253974</v>
      </c>
      <c r="E16" s="88">
        <f t="shared" si="1"/>
        <v>339.51629384920642</v>
      </c>
      <c r="F16" s="88">
        <f t="shared" si="1"/>
        <v>401.93202134920642</v>
      </c>
    </row>
    <row r="17" spans="1:6" ht="13.2" x14ac:dyDescent="0.25">
      <c r="A17" s="254"/>
      <c r="B17" s="120">
        <f>+B12</f>
        <v>20</v>
      </c>
      <c r="C17" s="88">
        <f t="shared" si="1"/>
        <v>137.65425714285715</v>
      </c>
      <c r="D17" s="88">
        <f t="shared" si="1"/>
        <v>293.59919761904763</v>
      </c>
      <c r="E17" s="88">
        <f t="shared" si="1"/>
        <v>358.95280178571431</v>
      </c>
      <c r="F17" s="88">
        <f t="shared" si="1"/>
        <v>421.36852928571432</v>
      </c>
    </row>
    <row r="18" spans="1:6" ht="13.2" x14ac:dyDescent="0.25">
      <c r="A18" s="254"/>
      <c r="B18" s="120">
        <f>+B13</f>
        <v>30</v>
      </c>
      <c r="C18" s="88">
        <f t="shared" ref="C18:F19" si="2">+C$4+C13</f>
        <v>150.84558367346938</v>
      </c>
      <c r="D18" s="88">
        <f t="shared" si="2"/>
        <v>318.58899353741498</v>
      </c>
      <c r="E18" s="88">
        <f t="shared" si="2"/>
        <v>383.94259770408166</v>
      </c>
      <c r="F18" s="88">
        <f t="shared" si="2"/>
        <v>446.35832520408167</v>
      </c>
    </row>
    <row r="19" spans="1:6" ht="13.2" x14ac:dyDescent="0.25">
      <c r="A19" s="254"/>
      <c r="B19" s="120">
        <f>+B14</f>
        <v>40</v>
      </c>
      <c r="C19" s="88">
        <f t="shared" si="2"/>
        <v>168.43401904761902</v>
      </c>
      <c r="D19" s="88">
        <f t="shared" si="2"/>
        <v>351.90872142857143</v>
      </c>
      <c r="E19" s="88">
        <f t="shared" si="2"/>
        <v>417.26232559523817</v>
      </c>
      <c r="F19" s="88">
        <f t="shared" si="2"/>
        <v>479.67805309523817</v>
      </c>
    </row>
    <row r="21" spans="1:6" ht="26.4" customHeight="1" x14ac:dyDescent="0.25">
      <c r="A21" s="254" t="s">
        <v>135</v>
      </c>
      <c r="B21" s="109" t="s">
        <v>134</v>
      </c>
      <c r="C21" s="124">
        <f>+(C16-C15)/C15</f>
        <v>6.8866384989701088E-2</v>
      </c>
      <c r="D21" s="124">
        <f t="shared" ref="C21:F24" si="3">+(D16-D15)/D15</f>
        <v>6.0125273240933898E-2</v>
      </c>
      <c r="E21" s="124">
        <f t="shared" si="3"/>
        <v>4.7996253166323166E-2</v>
      </c>
      <c r="F21" s="124">
        <f t="shared" si="3"/>
        <v>4.0243007053008741E-2</v>
      </c>
    </row>
    <row r="22" spans="1:6" ht="13.2" x14ac:dyDescent="0.25">
      <c r="A22" s="254"/>
      <c r="B22" s="99" t="s">
        <v>133</v>
      </c>
      <c r="C22" s="124">
        <f>+(C17-C16)/C16</f>
        <v>8.0536709214553401E-2</v>
      </c>
      <c r="D22" s="124">
        <f t="shared" si="3"/>
        <v>7.0894066435567671E-2</v>
      </c>
      <c r="E22" s="124">
        <f t="shared" si="3"/>
        <v>5.7247644041320947E-2</v>
      </c>
      <c r="F22" s="124">
        <f t="shared" si="3"/>
        <v>4.8357699571343872E-2</v>
      </c>
    </row>
    <row r="23" spans="1:6" ht="13.2" x14ac:dyDescent="0.25">
      <c r="A23" s="254"/>
      <c r="B23" s="99" t="s">
        <v>132</v>
      </c>
      <c r="C23" s="124">
        <f t="shared" si="3"/>
        <v>9.5829412067672662E-2</v>
      </c>
      <c r="D23" s="124">
        <f t="shared" si="3"/>
        <v>8.5115341325939994E-2</v>
      </c>
      <c r="E23" s="124">
        <f t="shared" si="3"/>
        <v>6.9618612235503932E-2</v>
      </c>
      <c r="F23" s="124">
        <f t="shared" si="3"/>
        <v>5.9306270358464995E-2</v>
      </c>
    </row>
    <row r="24" spans="1:6" ht="13.2" x14ac:dyDescent="0.25">
      <c r="A24" s="254"/>
      <c r="B24" s="99" t="s">
        <v>131</v>
      </c>
      <c r="C24" s="124">
        <f>+(C19-C18)/C18</f>
        <v>0.11659894141960937</v>
      </c>
      <c r="D24" s="124">
        <f t="shared" si="3"/>
        <v>0.10458530761277976</v>
      </c>
      <c r="E24" s="124">
        <f t="shared" si="3"/>
        <v>8.678309750052067E-2</v>
      </c>
      <c r="F24" s="124">
        <f t="shared" si="3"/>
        <v>7.464793644416115E-2</v>
      </c>
    </row>
  </sheetData>
  <mergeCells count="5">
    <mergeCell ref="A2:A4"/>
    <mergeCell ref="A5:A7"/>
    <mergeCell ref="A10:A14"/>
    <mergeCell ref="A15:A19"/>
    <mergeCell ref="A21:A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Légende</vt:lpstr>
      <vt:lpstr>Étapes &amp; Durée</vt:lpstr>
      <vt:lpstr>Techniciens &amp; Véhicule</vt:lpstr>
      <vt:lpstr>Matériel</vt:lpstr>
      <vt:lpstr>Synthèse</vt:lpstr>
      <vt:lpstr>Incidence Sensibilité</vt:lpstr>
      <vt:lpstr>Var Ml</vt:lpstr>
      <vt:lpstr>Var Tx H</vt:lpstr>
      <vt:lpstr>Var Échecs</vt:lpstr>
    </vt:vector>
  </TitlesOfParts>
  <Company>CANAL +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dle</dc:creator>
  <cp:lastModifiedBy>BENOIT Jean-Baptiste</cp:lastModifiedBy>
  <cp:lastPrinted>2017-12-20T18:51:55Z</cp:lastPrinted>
  <dcterms:created xsi:type="dcterms:W3CDTF">2011-02-23T15:01:06Z</dcterms:created>
  <dcterms:modified xsi:type="dcterms:W3CDTF">2020-12-14T10:17:03Z</dcterms:modified>
</cp:coreProperties>
</file>