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xr:revisionPtr revIDLastSave="0" documentId="13_ncr:1_{05A28C16-F5D7-4D8A-A18A-0C1D8033A351}" xr6:coauthVersionLast="47" xr6:coauthVersionMax="47" xr10:uidLastSave="{00000000-0000-0000-0000-000000000000}"/>
  <bookViews>
    <workbookView xWindow="-120" yWindow="-120" windowWidth="29040" windowHeight="15720" tabRatio="910" activeTab="3" xr2:uid="{00000000-000D-0000-FFFF-FFFF00000000}"/>
  </bookViews>
  <sheets>
    <sheet name="Page de garde" sheetId="1" r:id="rId1"/>
    <sheet name="Synthèse" sheetId="2" r:id="rId2"/>
    <sheet name="1. Données d'entrée" sheetId="3" r:id="rId3"/>
    <sheet name="Données générales" sheetId="4" r:id="rId4"/>
    <sheet name="Données par OI" sheetId="5" r:id="rId5"/>
    <sheet name="2. Calculs par brique" sheetId="6" r:id="rId6"/>
    <sheet name="Maintenance préventive" sheetId="7" r:id="rId7"/>
    <sheet name="Maintenance curative" sheetId="8" r:id="rId8"/>
    <sheet name="GC Orange (iBLO)" sheetId="9" r:id="rId9"/>
    <sheet name="GC hors Orange" sheetId="10" r:id="rId10"/>
    <sheet name="IFER" sheetId="11" r:id="rId11"/>
    <sheet name="Autres briques" sheetId="12" r:id="rId12"/>
    <sheet name="Extension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6" i="13" l="1"/>
  <c r="F13" i="13"/>
  <c r="F12" i="13"/>
  <c r="F11" i="13"/>
  <c r="F8" i="13"/>
  <c r="F7" i="13"/>
  <c r="F6" i="13"/>
  <c r="F5" i="13"/>
  <c r="F44" i="12"/>
  <c r="F34" i="12"/>
  <c r="F33" i="12"/>
  <c r="F32" i="12"/>
  <c r="F29" i="12"/>
  <c r="F23" i="12"/>
  <c r="F20" i="12"/>
  <c r="F17" i="12"/>
  <c r="F16" i="12"/>
  <c r="F10" i="12"/>
  <c r="F7" i="12"/>
  <c r="F6" i="12"/>
  <c r="F5" i="12"/>
  <c r="N14" i="11"/>
  <c r="M14" i="11"/>
  <c r="L14" i="11"/>
  <c r="K14" i="11"/>
  <c r="J14" i="11"/>
  <c r="A14" i="11"/>
  <c r="A9" i="11"/>
  <c r="A8" i="11"/>
  <c r="A4" i="11"/>
  <c r="F25" i="10"/>
  <c r="F23" i="10"/>
  <c r="F22" i="10"/>
  <c r="F17" i="10"/>
  <c r="F15" i="10"/>
  <c r="F14" i="10"/>
  <c r="F13" i="10"/>
  <c r="F12" i="10"/>
  <c r="F7" i="10"/>
  <c r="F5" i="10"/>
  <c r="F4" i="10"/>
  <c r="AC57" i="9"/>
  <c r="AB57" i="9"/>
  <c r="AA57" i="9"/>
  <c r="Z57" i="9"/>
  <c r="Y57" i="9"/>
  <c r="X57" i="9"/>
  <c r="W57" i="9"/>
  <c r="V57" i="9"/>
  <c r="U57" i="9"/>
  <c r="T57" i="9"/>
  <c r="S57" i="9"/>
  <c r="R57" i="9"/>
  <c r="Q57" i="9"/>
  <c r="P57" i="9"/>
  <c r="O57" i="9"/>
  <c r="N57" i="9"/>
  <c r="M57" i="9"/>
  <c r="L57" i="9"/>
  <c r="K57" i="9"/>
  <c r="J57" i="9"/>
  <c r="I57" i="9"/>
  <c r="H57" i="9"/>
  <c r="G57" i="9"/>
  <c r="F57" i="9"/>
  <c r="E57" i="9"/>
  <c r="AC56" i="9"/>
  <c r="AB56" i="9"/>
  <c r="AA56" i="9"/>
  <c r="Z56" i="9"/>
  <c r="Y56" i="9"/>
  <c r="X56" i="9"/>
  <c r="W56" i="9"/>
  <c r="V56" i="9"/>
  <c r="U56" i="9"/>
  <c r="T56" i="9"/>
  <c r="S56" i="9"/>
  <c r="R56" i="9"/>
  <c r="Q56" i="9"/>
  <c r="P56" i="9"/>
  <c r="O56" i="9"/>
  <c r="N56" i="9"/>
  <c r="M56" i="9"/>
  <c r="L56" i="9"/>
  <c r="K56" i="9"/>
  <c r="J56" i="9"/>
  <c r="I56" i="9"/>
  <c r="H56" i="9"/>
  <c r="G56" i="9"/>
  <c r="F56" i="9"/>
  <c r="E56" i="9"/>
  <c r="AC42" i="9"/>
  <c r="AB42" i="9"/>
  <c r="AA42" i="9"/>
  <c r="Z42" i="9"/>
  <c r="Y42" i="9"/>
  <c r="X42" i="9"/>
  <c r="W42" i="9"/>
  <c r="V42" i="9"/>
  <c r="U42" i="9"/>
  <c r="T42" i="9"/>
  <c r="S42" i="9"/>
  <c r="R42" i="9"/>
  <c r="Q42" i="9"/>
  <c r="P42" i="9"/>
  <c r="O42" i="9"/>
  <c r="N42" i="9"/>
  <c r="M42" i="9"/>
  <c r="L42" i="9"/>
  <c r="K42" i="9"/>
  <c r="J42" i="9"/>
  <c r="I42" i="9"/>
  <c r="H42" i="9"/>
  <c r="G42" i="9"/>
  <c r="F42" i="9"/>
  <c r="E42" i="9"/>
  <c r="AC41" i="9"/>
  <c r="AB41" i="9"/>
  <c r="AA41" i="9"/>
  <c r="Z41" i="9"/>
  <c r="Y41" i="9"/>
  <c r="X41" i="9"/>
  <c r="W41" i="9"/>
  <c r="V41" i="9"/>
  <c r="U41" i="9"/>
  <c r="T41" i="9"/>
  <c r="S41" i="9"/>
  <c r="R41" i="9"/>
  <c r="Q41" i="9"/>
  <c r="P41" i="9"/>
  <c r="O41" i="9"/>
  <c r="N41" i="9"/>
  <c r="M41" i="9"/>
  <c r="L41" i="9"/>
  <c r="K41" i="9"/>
  <c r="J41" i="9"/>
  <c r="I41" i="9"/>
  <c r="H41" i="9"/>
  <c r="G41" i="9"/>
  <c r="F41" i="9"/>
  <c r="E41" i="9"/>
  <c r="AC39" i="9"/>
  <c r="AB39" i="9"/>
  <c r="AA39" i="9"/>
  <c r="Z39" i="9"/>
  <c r="Y39" i="9"/>
  <c r="X39" i="9"/>
  <c r="W39" i="9"/>
  <c r="V39" i="9"/>
  <c r="U39" i="9"/>
  <c r="T39" i="9"/>
  <c r="S39" i="9"/>
  <c r="R39" i="9"/>
  <c r="Q39" i="9"/>
  <c r="P39" i="9"/>
  <c r="O39" i="9"/>
  <c r="N39" i="9"/>
  <c r="M39" i="9"/>
  <c r="L39" i="9"/>
  <c r="K39" i="9"/>
  <c r="J39" i="9"/>
  <c r="I39" i="9"/>
  <c r="H39" i="9"/>
  <c r="G39" i="9"/>
  <c r="F39" i="9"/>
  <c r="E39" i="9"/>
  <c r="AC38" i="9"/>
  <c r="AB38" i="9"/>
  <c r="AA38" i="9"/>
  <c r="Z38" i="9"/>
  <c r="Y38" i="9"/>
  <c r="X38" i="9"/>
  <c r="W38" i="9"/>
  <c r="V38" i="9"/>
  <c r="U38" i="9"/>
  <c r="T38" i="9"/>
  <c r="S38" i="9"/>
  <c r="R38" i="9"/>
  <c r="Q38" i="9"/>
  <c r="P38" i="9"/>
  <c r="O38" i="9"/>
  <c r="N38" i="9"/>
  <c r="M38" i="9"/>
  <c r="L38" i="9"/>
  <c r="K38" i="9"/>
  <c r="J38" i="9"/>
  <c r="I38" i="9"/>
  <c r="H38" i="9"/>
  <c r="G38" i="9"/>
  <c r="F38" i="9"/>
  <c r="E38" i="9"/>
  <c r="AC37" i="9"/>
  <c r="AB37" i="9"/>
  <c r="AA37" i="9"/>
  <c r="Z37" i="9"/>
  <c r="Y37" i="9"/>
  <c r="X37" i="9"/>
  <c r="W37" i="9"/>
  <c r="V37" i="9"/>
  <c r="U37" i="9"/>
  <c r="T37" i="9"/>
  <c r="S37" i="9"/>
  <c r="R37" i="9"/>
  <c r="Q37" i="9"/>
  <c r="P37" i="9"/>
  <c r="O37" i="9"/>
  <c r="N37" i="9"/>
  <c r="M37" i="9"/>
  <c r="L37" i="9"/>
  <c r="K37" i="9"/>
  <c r="J37" i="9"/>
  <c r="I37" i="9"/>
  <c r="H37" i="9"/>
  <c r="G37" i="9"/>
  <c r="F37" i="9"/>
  <c r="E37" i="9"/>
  <c r="AC36" i="9"/>
  <c r="AB36" i="9"/>
  <c r="AA36" i="9"/>
  <c r="Z36" i="9"/>
  <c r="Y36" i="9"/>
  <c r="X36" i="9"/>
  <c r="W36" i="9"/>
  <c r="V36" i="9"/>
  <c r="U36" i="9"/>
  <c r="T36" i="9"/>
  <c r="S36" i="9"/>
  <c r="R36" i="9"/>
  <c r="Q36" i="9"/>
  <c r="P36" i="9"/>
  <c r="O36" i="9"/>
  <c r="N36" i="9"/>
  <c r="M36" i="9"/>
  <c r="L36" i="9"/>
  <c r="K36" i="9"/>
  <c r="J36" i="9"/>
  <c r="I36" i="9"/>
  <c r="H36" i="9"/>
  <c r="G36" i="9"/>
  <c r="F36" i="9"/>
  <c r="E36" i="9"/>
  <c r="AC34" i="9"/>
  <c r="AB34" i="9"/>
  <c r="AA34" i="9"/>
  <c r="Z34" i="9"/>
  <c r="Y34" i="9"/>
  <c r="X34" i="9"/>
  <c r="W34" i="9"/>
  <c r="V34" i="9"/>
  <c r="U34" i="9"/>
  <c r="T34" i="9"/>
  <c r="S34" i="9"/>
  <c r="R34" i="9"/>
  <c r="Q34" i="9"/>
  <c r="P34" i="9"/>
  <c r="O34" i="9"/>
  <c r="N34" i="9"/>
  <c r="M34" i="9"/>
  <c r="L34" i="9"/>
  <c r="K34" i="9"/>
  <c r="J34" i="9"/>
  <c r="I34" i="9"/>
  <c r="H34" i="9"/>
  <c r="G34" i="9"/>
  <c r="F34" i="9"/>
  <c r="AC33" i="9"/>
  <c r="AB33" i="9"/>
  <c r="AA33" i="9"/>
  <c r="Z33" i="9"/>
  <c r="Y33" i="9"/>
  <c r="X33" i="9"/>
  <c r="W33" i="9"/>
  <c r="V33" i="9"/>
  <c r="U33" i="9"/>
  <c r="T33" i="9"/>
  <c r="S33" i="9"/>
  <c r="R33" i="9"/>
  <c r="Q33" i="9"/>
  <c r="P33" i="9"/>
  <c r="O33" i="9"/>
  <c r="N33" i="9"/>
  <c r="M33" i="9"/>
  <c r="L33" i="9"/>
  <c r="K33" i="9"/>
  <c r="J33" i="9"/>
  <c r="I33" i="9"/>
  <c r="H33" i="9"/>
  <c r="G33" i="9"/>
  <c r="F33" i="9"/>
  <c r="AC30" i="9"/>
  <c r="AB30" i="9"/>
  <c r="AA30" i="9"/>
  <c r="Z30" i="9"/>
  <c r="Y30" i="9"/>
  <c r="X30" i="9"/>
  <c r="W30" i="9"/>
  <c r="V30" i="9"/>
  <c r="U30" i="9"/>
  <c r="T30" i="9"/>
  <c r="S30" i="9"/>
  <c r="R30" i="9"/>
  <c r="Q30" i="9"/>
  <c r="P30" i="9"/>
  <c r="O30" i="9"/>
  <c r="N30" i="9"/>
  <c r="M30" i="9"/>
  <c r="L30" i="9"/>
  <c r="K30" i="9"/>
  <c r="J30" i="9"/>
  <c r="I30" i="9"/>
  <c r="H30" i="9"/>
  <c r="G30" i="9"/>
  <c r="F30" i="9"/>
  <c r="E30" i="9"/>
  <c r="AC28" i="9"/>
  <c r="AB28" i="9"/>
  <c r="AA28" i="9"/>
  <c r="Z28" i="9"/>
  <c r="Y28" i="9"/>
  <c r="X28" i="9"/>
  <c r="W28" i="9"/>
  <c r="V28" i="9"/>
  <c r="U28" i="9"/>
  <c r="T28" i="9"/>
  <c r="S28" i="9"/>
  <c r="R28" i="9"/>
  <c r="Q28" i="9"/>
  <c r="P28" i="9"/>
  <c r="O28" i="9"/>
  <c r="N28" i="9"/>
  <c r="M28" i="9"/>
  <c r="L28" i="9"/>
  <c r="K28" i="9"/>
  <c r="J28" i="9"/>
  <c r="I28" i="9"/>
  <c r="H28" i="9"/>
  <c r="G28" i="9"/>
  <c r="F28" i="9"/>
  <c r="E28" i="9"/>
  <c r="AC23" i="9"/>
  <c r="AB23" i="9"/>
  <c r="AA23" i="9"/>
  <c r="Z23" i="9"/>
  <c r="Y23" i="9"/>
  <c r="X23" i="9"/>
  <c r="W23" i="9"/>
  <c r="V23" i="9"/>
  <c r="U23" i="9"/>
  <c r="T23" i="9"/>
  <c r="S23" i="9"/>
  <c r="R23" i="9"/>
  <c r="Q23" i="9"/>
  <c r="P23" i="9"/>
  <c r="O23" i="9"/>
  <c r="N23" i="9"/>
  <c r="M23" i="9"/>
  <c r="L23" i="9"/>
  <c r="K23" i="9"/>
  <c r="J23" i="9"/>
  <c r="I23" i="9"/>
  <c r="H23" i="9"/>
  <c r="G23" i="9"/>
  <c r="F23" i="9"/>
  <c r="E23" i="9"/>
  <c r="AC22" i="9"/>
  <c r="AB22" i="9"/>
  <c r="AA22" i="9"/>
  <c r="Z22" i="9"/>
  <c r="Y22" i="9"/>
  <c r="X22" i="9"/>
  <c r="W22" i="9"/>
  <c r="V22" i="9"/>
  <c r="U22" i="9"/>
  <c r="T22" i="9"/>
  <c r="S22" i="9"/>
  <c r="R22" i="9"/>
  <c r="Q22" i="9"/>
  <c r="P22" i="9"/>
  <c r="O22" i="9"/>
  <c r="N22" i="9"/>
  <c r="M22" i="9"/>
  <c r="L22" i="9"/>
  <c r="K22" i="9"/>
  <c r="J22" i="9"/>
  <c r="I22" i="9"/>
  <c r="H22" i="9"/>
  <c r="G22" i="9"/>
  <c r="F22" i="9"/>
  <c r="E22" i="9"/>
  <c r="AC21" i="9"/>
  <c r="AB21" i="9"/>
  <c r="AA21" i="9"/>
  <c r="Z21" i="9"/>
  <c r="Y21" i="9"/>
  <c r="X21" i="9"/>
  <c r="W21" i="9"/>
  <c r="V21" i="9"/>
  <c r="U21" i="9"/>
  <c r="T21" i="9"/>
  <c r="S21" i="9"/>
  <c r="R21" i="9"/>
  <c r="Q21" i="9"/>
  <c r="P21" i="9"/>
  <c r="O21" i="9"/>
  <c r="N21" i="9"/>
  <c r="M21" i="9"/>
  <c r="L21" i="9"/>
  <c r="K21" i="9"/>
  <c r="J21" i="9"/>
  <c r="I21" i="9"/>
  <c r="H21" i="9"/>
  <c r="G21" i="9"/>
  <c r="F21" i="9"/>
  <c r="E21" i="9"/>
  <c r="AC17" i="9"/>
  <c r="AB17" i="9"/>
  <c r="AA17" i="9"/>
  <c r="Z17" i="9"/>
  <c r="Y17" i="9"/>
  <c r="X17" i="9"/>
  <c r="W17" i="9"/>
  <c r="V17" i="9"/>
  <c r="U17" i="9"/>
  <c r="T17" i="9"/>
  <c r="S17" i="9"/>
  <c r="R17" i="9"/>
  <c r="Q17" i="9"/>
  <c r="P17" i="9"/>
  <c r="O17" i="9"/>
  <c r="N17" i="9"/>
  <c r="M17" i="9"/>
  <c r="L17" i="9"/>
  <c r="K17" i="9"/>
  <c r="J17" i="9"/>
  <c r="I17" i="9"/>
  <c r="H17" i="9"/>
  <c r="G17" i="9"/>
  <c r="F17" i="9"/>
  <c r="F39" i="8"/>
  <c r="F36" i="8"/>
  <c r="F35" i="8"/>
  <c r="F34" i="8"/>
  <c r="F33" i="8"/>
  <c r="F30" i="8"/>
  <c r="F29" i="8"/>
  <c r="F28" i="8"/>
  <c r="F26" i="8"/>
  <c r="F25" i="8"/>
  <c r="F24" i="8"/>
  <c r="F19" i="8"/>
  <c r="F17" i="8"/>
  <c r="F16" i="8"/>
  <c r="F15" i="8"/>
  <c r="E10" i="8"/>
  <c r="F8" i="8"/>
  <c r="E8" i="8"/>
  <c r="F7" i="8"/>
  <c r="E7" i="8"/>
  <c r="F6" i="8"/>
  <c r="E6" i="8"/>
  <c r="F5" i="8"/>
  <c r="E5" i="8"/>
  <c r="F19" i="7"/>
  <c r="F16" i="7"/>
  <c r="F13" i="7"/>
  <c r="F11" i="7"/>
  <c r="E11" i="7"/>
  <c r="F10" i="7"/>
  <c r="E10" i="7"/>
  <c r="F9" i="7"/>
  <c r="E9" i="7"/>
  <c r="F6" i="7"/>
  <c r="F5" i="7"/>
  <c r="G16" i="2"/>
  <c r="E16" i="2"/>
  <c r="G13" i="2"/>
  <c r="E13" i="2"/>
  <c r="G11" i="2"/>
  <c r="F11" i="2"/>
  <c r="E11" i="2"/>
  <c r="G10" i="2"/>
  <c r="F10" i="2"/>
  <c r="E10" i="2"/>
  <c r="G9" i="2"/>
  <c r="F9" i="2"/>
  <c r="E9" i="2"/>
  <c r="G8" i="2"/>
  <c r="F8" i="2"/>
  <c r="E8" i="2"/>
  <c r="E4" i="2"/>
  <c r="F30" i="10" l="1"/>
  <c r="F34" i="10" s="1"/>
  <c r="E12" i="2" l="1"/>
  <c r="F28" i="12"/>
  <c r="F12" i="2" l="1"/>
  <c r="G12" i="2" s="1"/>
  <c r="F36" i="12"/>
  <c r="F38" i="12" s="1"/>
  <c r="E14" i="2" l="1"/>
  <c r="F43" i="12"/>
  <c r="F45" i="12" s="1"/>
  <c r="E15" i="2" s="1"/>
  <c r="F15" i="2" l="1"/>
  <c r="G15" i="2" s="1"/>
  <c r="F14" i="2"/>
  <c r="F17" i="2" s="1"/>
  <c r="E17" i="2"/>
  <c r="G14" i="2" l="1"/>
  <c r="G17" i="2" s="1"/>
</calcChain>
</file>

<file path=xl/sharedStrings.xml><?xml version="1.0" encoding="utf-8"?>
<sst xmlns="http://schemas.openxmlformats.org/spreadsheetml/2006/main" count="686" uniqueCount="472">
  <si>
    <t>Synthèse</t>
  </si>
  <si>
    <t>1. Données d'entrée</t>
  </si>
  <si>
    <t>Données générales</t>
  </si>
  <si>
    <t>Données par OI</t>
  </si>
  <si>
    <t>2. Calculs par brique</t>
  </si>
  <si>
    <t>Maintenance préventive</t>
  </si>
  <si>
    <t>Maintenance curative</t>
  </si>
  <si>
    <t>GCBLO</t>
  </si>
  <si>
    <t>Génie civil en propre et tiers hors Orange</t>
  </si>
  <si>
    <t>IFER</t>
  </si>
  <si>
    <t>Commercialisation de gros</t>
  </si>
  <si>
    <t>Fiscalité hors IFER et RODP</t>
  </si>
  <si>
    <t>Autres briques</t>
  </si>
  <si>
    <t>Quote-part de coûts de structure indivis</t>
  </si>
  <si>
    <t>Extensions</t>
  </si>
  <si>
    <t>Sélection de l'OI</t>
  </si>
  <si>
    <t>Altice France - Connect 76</t>
  </si>
  <si>
    <t>Code OI</t>
  </si>
  <si>
    <t>Résultats</t>
  </si>
  <si>
    <t>Coûts totaux</t>
  </si>
  <si>
    <t>Tout segment</t>
  </si>
  <si>
    <t>Segment ]NRO-PM[</t>
  </si>
  <si>
    <t>Segment [PM-PTO]</t>
  </si>
  <si>
    <t>Génie civil iBLO</t>
  </si>
  <si>
    <t>Génie civil hors iBLO</t>
  </si>
  <si>
    <t>Coûts de structure indivis</t>
  </si>
  <si>
    <t>Total hors enfouissements-dévoiements</t>
  </si>
  <si>
    <t>Unité</t>
  </si>
  <si>
    <t>Valeur</t>
  </si>
  <si>
    <t>Paramètres généraux</t>
  </si>
  <si>
    <t>Prises de la maison mère</t>
  </si>
  <si>
    <t>#</t>
  </si>
  <si>
    <t>Audits et maintenance PM</t>
  </si>
  <si>
    <t>Coût par intervention</t>
  </si>
  <si>
    <t>€</t>
  </si>
  <si>
    <t>Nombre de PM concernés</t>
  </si>
  <si>
    <t>nb/an/PM</t>
  </si>
  <si>
    <t>Remises en conformité PM</t>
  </si>
  <si>
    <t>Part des PM concernés</t>
  </si>
  <si>
    <t>%/an</t>
  </si>
  <si>
    <t>Audits et maintenance PBO</t>
  </si>
  <si>
    <t>Part des PBO concernés</t>
  </si>
  <si>
    <t>Coûts indirects</t>
  </si>
  <si>
    <t>Batiments, énergie, etc.</t>
  </si>
  <si>
    <t>%/autres coûts</t>
  </si>
  <si>
    <t>Coûts unitaires maintenance</t>
  </si>
  <si>
    <t>Coût chargé - Technicien de maintenance</t>
  </si>
  <si>
    <t>€/h</t>
  </si>
  <si>
    <t>Coûts de matériel</t>
  </si>
  <si>
    <t>€/intervention</t>
  </si>
  <si>
    <t>Temps d'intervention</t>
  </si>
  <si>
    <t>Temps moyen d'une intervention</t>
  </si>
  <si>
    <t>h</t>
  </si>
  <si>
    <t>Nombre moyen de technicien(s) par intervention</t>
  </si>
  <si>
    <t>tech.</t>
  </si>
  <si>
    <t>%</t>
  </si>
  <si>
    <t>Estimation du nombre d'interventions</t>
  </si>
  <si>
    <t>Coefficient PBO</t>
  </si>
  <si>
    <t>Coefficient activité annuelle PM</t>
  </si>
  <si>
    <t>Coefficient linéaire aérien &amp; vents forts</t>
  </si>
  <si>
    <t>Coefficient linéaire aérien &amp; neige</t>
  </si>
  <si>
    <t>SI réseau</t>
  </si>
  <si>
    <t>€/an</t>
  </si>
  <si>
    <t>Génie civil hors Orange</t>
  </si>
  <si>
    <t>Enedis</t>
  </si>
  <si>
    <t>Coût annualisé</t>
  </si>
  <si>
    <t>€/an/appui</t>
  </si>
  <si>
    <t>Maintenance du GC construit en propre</t>
  </si>
  <si>
    <t>Coût de maintenance de conduite</t>
  </si>
  <si>
    <t>€/ml/an</t>
  </si>
  <si>
    <t>Coût de maintenance d'un appui</t>
  </si>
  <si>
    <t>€/appui/an</t>
  </si>
  <si>
    <t>Location de GC à des tiers</t>
  </si>
  <si>
    <t>Coût de location de GC</t>
  </si>
  <si>
    <t>Gestion</t>
  </si>
  <si>
    <t>Equipes ADV, responsables de comptes, contrats</t>
  </si>
  <si>
    <t>Nombre d'ETP</t>
  </si>
  <si>
    <t>Coût chargé annuel</t>
  </si>
  <si>
    <t>SI Commercialisation</t>
  </si>
  <si>
    <t>Coût annuel SI</t>
  </si>
  <si>
    <t>Communication</t>
  </si>
  <si>
    <t>Coût annuel communications</t>
  </si>
  <si>
    <t>CVAE, C3S et CFE</t>
  </si>
  <si>
    <t>Part des autres cioûts</t>
  </si>
  <si>
    <t>RODP</t>
  </si>
  <si>
    <t>Redevance infra aérienne</t>
  </si>
  <si>
    <t>€/km/an</t>
  </si>
  <si>
    <t>Redevance infra souterraine</t>
  </si>
  <si>
    <t>Redevance occupation PM</t>
  </si>
  <si>
    <t>€/m²/an</t>
  </si>
  <si>
    <t>Surface occupée par PM</t>
  </si>
  <si>
    <t>m²/PM</t>
  </si>
  <si>
    <t>Coûts fibre</t>
  </si>
  <si>
    <t>Coûts fibre par nouveau local</t>
  </si>
  <si>
    <t>€/local</t>
  </si>
  <si>
    <t>Coûts génie civil</t>
  </si>
  <si>
    <t>Part des adductions nécessitant la construction de génie civil</t>
  </si>
  <si>
    <t>Coût de génie civil</t>
  </si>
  <si>
    <t>€/site</t>
  </si>
  <si>
    <t>Coûts pilotage et gestions</t>
  </si>
  <si>
    <t>Coûts pilotage par nouveau local</t>
  </si>
  <si>
    <t>Coûts indivis</t>
  </si>
  <si>
    <t>Opérateur d'infrastructure / exploitant</t>
  </si>
  <si>
    <t>Code
L. 33-1</t>
  </si>
  <si>
    <t>Code Interop</t>
  </si>
  <si>
    <t>PBO</t>
  </si>
  <si>
    <t>PM</t>
  </si>
  <si>
    <t>Lignes actives</t>
  </si>
  <si>
    <t>Locaux raccordables</t>
  </si>
  <si>
    <t>Activité PM</t>
  </si>
  <si>
    <t>Linéaire aérien (km)</t>
  </si>
  <si>
    <t>Temps de trajet (h)</t>
  </si>
  <si>
    <t>Vent (nb jours avec plus de 16 m/s)</t>
  </si>
  <si>
    <t>Neige (cm annuel)</t>
  </si>
  <si>
    <t>Nouveaux locaux annuels</t>
  </si>
  <si>
    <t>Nb logements individuels isolés</t>
  </si>
  <si>
    <t>Nb lotissements</t>
  </si>
  <si>
    <t>Nb immeubles collectifs</t>
  </si>
  <si>
    <t>Part du linéaire de câble sur le segment NRO-PM</t>
  </si>
  <si>
    <t>Nombre d'appuis Enedis</t>
  </si>
  <si>
    <t>Nombre d'appuis en propre</t>
  </si>
  <si>
    <t>Longueurs conduite en propre (km)</t>
  </si>
  <si>
    <t>Longueur GC tiers (km)</t>
  </si>
  <si>
    <t>Occupation GC amont PM (m3)</t>
  </si>
  <si>
    <t>Part des accès sur ligne active depuis plus de 5 ans</t>
  </si>
  <si>
    <t>SN</t>
  </si>
  <si>
    <t>CNCT</t>
  </si>
  <si>
    <t>SNMA</t>
  </si>
  <si>
    <t>Altice France - Corsica Fibra</t>
  </si>
  <si>
    <t>CS</t>
  </si>
  <si>
    <t>CORF</t>
  </si>
  <si>
    <t>CORS</t>
  </si>
  <si>
    <t>Altice France - Essonne numérique Très Haut Débit</t>
  </si>
  <si>
    <t>ES</t>
  </si>
  <si>
    <t>ENTH</t>
  </si>
  <si>
    <t>Altice France - Eure et Loir THD</t>
  </si>
  <si>
    <t>EL</t>
  </si>
  <si>
    <t>EULH</t>
  </si>
  <si>
    <t>Altice France - Hérault THD</t>
  </si>
  <si>
    <t>HT</t>
  </si>
  <si>
    <t>DSPT</t>
  </si>
  <si>
    <t>HTHD</t>
  </si>
  <si>
    <t>Altice France - Isère Fibre</t>
  </si>
  <si>
    <t>IS</t>
  </si>
  <si>
    <t>ISER</t>
  </si>
  <si>
    <t>Altice France - Loiret Fibre</t>
  </si>
  <si>
    <t>LF</t>
  </si>
  <si>
    <t>LOFI</t>
  </si>
  <si>
    <t>Altice France - Loiret THD</t>
  </si>
  <si>
    <t>LO</t>
  </si>
  <si>
    <t>LOIR</t>
  </si>
  <si>
    <t>Altice France - Oise Numérique</t>
  </si>
  <si>
    <t>ON</t>
  </si>
  <si>
    <t>ONUM</t>
  </si>
  <si>
    <t xml:space="preserve">Altice France - Seine-et-Marne THD </t>
  </si>
  <si>
    <t>SF</t>
  </si>
  <si>
    <t>SMTH</t>
  </si>
  <si>
    <t>Altice France - Tarn Fibre</t>
  </si>
  <si>
    <t>TR</t>
  </si>
  <si>
    <t>TARN</t>
  </si>
  <si>
    <t>Altice France - THD64</t>
  </si>
  <si>
    <t>TH</t>
  </si>
  <si>
    <t>THDD</t>
  </si>
  <si>
    <t>Altice France - Wigard</t>
  </si>
  <si>
    <t>WI</t>
  </si>
  <si>
    <t>WIGA</t>
  </si>
  <si>
    <t>Altitude Infra - Altitude Infra Calvados</t>
  </si>
  <si>
    <t>TC</t>
  </si>
  <si>
    <t>DSP1</t>
  </si>
  <si>
    <t>0TCA</t>
  </si>
  <si>
    <t>Altitude Infra - Altitude Infra Haute-Savoie</t>
  </si>
  <si>
    <t>SA</t>
  </si>
  <si>
    <t>TUHS</t>
  </si>
  <si>
    <t>0THS</t>
  </si>
  <si>
    <t>Altitude Infra - Altitude Infra Somme</t>
  </si>
  <si>
    <t>TS</t>
  </si>
  <si>
    <t>SMSM</t>
  </si>
  <si>
    <t>0TSO</t>
  </si>
  <si>
    <t>Altitude Infra - Dioptic by Altitude Infra</t>
  </si>
  <si>
    <t>DB</t>
  </si>
  <si>
    <t>MENI</t>
  </si>
  <si>
    <t>DOUB</t>
  </si>
  <si>
    <t>Altitude Infra - Emeraude THD</t>
  </si>
  <si>
    <t>EM</t>
  </si>
  <si>
    <t>EMER</t>
  </si>
  <si>
    <t>AUDE</t>
  </si>
  <si>
    <t>Altitude Infra - La Fibre 31</t>
  </si>
  <si>
    <t>HG</t>
  </si>
  <si>
    <t>FI31</t>
  </si>
  <si>
    <t>Altitude Infra - Losange Fibre</t>
  </si>
  <si>
    <t>GE</t>
  </si>
  <si>
    <t>LOSA</t>
  </si>
  <si>
    <t>Altitude Infra - Manche Fibre</t>
  </si>
  <si>
    <t>MF</t>
  </si>
  <si>
    <t>MAFI</t>
  </si>
  <si>
    <t>MNUM</t>
  </si>
  <si>
    <t>Altitude Infra - Octogone Fibre</t>
  </si>
  <si>
    <t>TG</t>
  </si>
  <si>
    <t>OCFI</t>
  </si>
  <si>
    <t>OCTO</t>
  </si>
  <si>
    <t>Altitude Infra - Prisme Fibre</t>
  </si>
  <si>
    <t>JR</t>
  </si>
  <si>
    <t>JURA</t>
  </si>
  <si>
    <t>Altitude Infra - Rosace Fibre</t>
  </si>
  <si>
    <t>AL</t>
  </si>
  <si>
    <t>ROSA</t>
  </si>
  <si>
    <t>Altitude Infra - THD 06</t>
  </si>
  <si>
    <t>SI</t>
  </si>
  <si>
    <t>THD6</t>
  </si>
  <si>
    <t>LAFI</t>
  </si>
  <si>
    <t>Altitude Infra - THD66</t>
  </si>
  <si>
    <t>PY</t>
  </si>
  <si>
    <t>HD66</t>
  </si>
  <si>
    <t>NU66</t>
  </si>
  <si>
    <t>VE</t>
  </si>
  <si>
    <t>RTHD</t>
  </si>
  <si>
    <t>VENU</t>
  </si>
  <si>
    <t>Altitude Infra - YCONIK FIBRE</t>
  </si>
  <si>
    <t>YK</t>
  </si>
  <si>
    <t>YCNK</t>
  </si>
  <si>
    <t>YCON</t>
  </si>
  <si>
    <t>Axione - ADTIM FttH</t>
  </si>
  <si>
    <t>DA</t>
  </si>
  <si>
    <t>ADTH</t>
  </si>
  <si>
    <t>Axione - Aisne THD</t>
  </si>
  <si>
    <t>AS</t>
  </si>
  <si>
    <t>AISN</t>
  </si>
  <si>
    <t>Axione - Berry Fibre Optique</t>
  </si>
  <si>
    <t>BF</t>
  </si>
  <si>
    <t>BEFO</t>
  </si>
  <si>
    <t>Axione - Eure Normandie THD</t>
  </si>
  <si>
    <t>EN</t>
  </si>
  <si>
    <t>EURE</t>
  </si>
  <si>
    <t>Axione - Sartel THD</t>
  </si>
  <si>
    <t>72</t>
  </si>
  <si>
    <t>LETR</t>
  </si>
  <si>
    <t>SART</t>
  </si>
  <si>
    <t>Axione - THD42 Exploitation (SIEL)</t>
  </si>
  <si>
    <t>42</t>
  </si>
  <si>
    <t>THD4</t>
  </si>
  <si>
    <t>SIEL</t>
  </si>
  <si>
    <t>Axione - THD 59-62</t>
  </si>
  <si>
    <t>NP</t>
  </si>
  <si>
    <t>THD5</t>
  </si>
  <si>
    <t>NPDC</t>
  </si>
  <si>
    <t>Axione - Vaucluse Numérique</t>
  </si>
  <si>
    <t>VA</t>
  </si>
  <si>
    <t>VANU</t>
  </si>
  <si>
    <t>VAUC</t>
  </si>
  <si>
    <t>Axione - Fibre44</t>
  </si>
  <si>
    <t>44</t>
  </si>
  <si>
    <t>FI44</t>
  </si>
  <si>
    <t>GN</t>
  </si>
  <si>
    <t>GERS</t>
  </si>
  <si>
    <t>Orange Concessions - Alliance Très Haut Débit</t>
  </si>
  <si>
    <t>AX</t>
  </si>
  <si>
    <t>AXTD</t>
  </si>
  <si>
    <t>Orange Concessions - Ariège Très Haut Débit</t>
  </si>
  <si>
    <t>AR</t>
  </si>
  <si>
    <t>ARTD</t>
  </si>
  <si>
    <t>Orange Concessions - Auvergne Très Haut Débit</t>
  </si>
  <si>
    <t>AU</t>
  </si>
  <si>
    <t>ATHD</t>
  </si>
  <si>
    <t>Orange Concessions - BFC Fibre</t>
  </si>
  <si>
    <t>BC</t>
  </si>
  <si>
    <t>BFCF</t>
  </si>
  <si>
    <t>Orange Concessions - Charente-Maritime Très Haut Débit</t>
  </si>
  <si>
    <t>CM</t>
  </si>
  <si>
    <t>CMTD</t>
  </si>
  <si>
    <t>Orange Concessions - Deux-Sèvres Numérique</t>
  </si>
  <si>
    <t>DS</t>
  </si>
  <si>
    <t>SY79</t>
  </si>
  <si>
    <t>Orange Concessions - Gironde Très Haut Débit</t>
  </si>
  <si>
    <t>GI</t>
  </si>
  <si>
    <t>GTHD</t>
  </si>
  <si>
    <t>Orange Concessions - Haute-Saône Fibre</t>
  </si>
  <si>
    <t>HS</t>
  </si>
  <si>
    <t>HASF</t>
  </si>
  <si>
    <t>Orange Concessions - Mayenne Fibre</t>
  </si>
  <si>
    <t>MA</t>
  </si>
  <si>
    <t>MAYE</t>
  </si>
  <si>
    <t>Orange Concessions - Moselle Numérique</t>
  </si>
  <si>
    <t>MO</t>
  </si>
  <si>
    <t>MONU</t>
  </si>
  <si>
    <t>Orange Concessions - Orne Département Très Haut Débit</t>
  </si>
  <si>
    <t>OM</t>
  </si>
  <si>
    <t>OMTD</t>
  </si>
  <si>
    <t>Orange Concessions - THD Bretagne</t>
  </si>
  <si>
    <t>MB</t>
  </si>
  <si>
    <t>THDB</t>
  </si>
  <si>
    <t>Orange Concessions - Var Très Haut Débit</t>
  </si>
  <si>
    <t>VT</t>
  </si>
  <si>
    <t>VTHD</t>
  </si>
  <si>
    <t>Orange Concessions - Régie Vienne Numérique</t>
  </si>
  <si>
    <t>VI</t>
  </si>
  <si>
    <t>VIEN</t>
  </si>
  <si>
    <t>Lumière - Anjou Fibre</t>
  </si>
  <si>
    <t>AF</t>
  </si>
  <si>
    <t>ANFI</t>
  </si>
  <si>
    <t>Lumière - Val de Loire Fibre</t>
  </si>
  <si>
    <t>VD</t>
  </si>
  <si>
    <t>VDLF</t>
  </si>
  <si>
    <t>Lumière - Val d'Oise Fibre</t>
  </si>
  <si>
    <t>VF</t>
  </si>
  <si>
    <t>VOFI</t>
  </si>
  <si>
    <t>SIEA - Li@in</t>
  </si>
  <si>
    <t>LI</t>
  </si>
  <si>
    <t>SIEA</t>
  </si>
  <si>
    <t>Nouvelle-Aquitaine THD</t>
  </si>
  <si>
    <t>NA</t>
  </si>
  <si>
    <t>LFNA</t>
  </si>
  <si>
    <t>NATH</t>
  </si>
  <si>
    <t>Calcul du coût de maintenance préventive</t>
  </si>
  <si>
    <t>Coûts directs</t>
  </si>
  <si>
    <t>Nombre de PM</t>
  </si>
  <si>
    <t>Nombre de PBO</t>
  </si>
  <si>
    <t>Volume annuel</t>
  </si>
  <si>
    <t>Coût unitaire</t>
  </si>
  <si>
    <t>Maintenance et audit PM</t>
  </si>
  <si>
    <t>Remise en conformité PM</t>
  </si>
  <si>
    <t>Maintenance et audit PBO</t>
  </si>
  <si>
    <t>Total coûts directs</t>
  </si>
  <si>
    <t>Part de coûts indirects</t>
  </si>
  <si>
    <t>Annuel</t>
  </si>
  <si>
    <t>Paramètre</t>
  </si>
  <si>
    <t>Volume</t>
  </si>
  <si>
    <t>Coefficient</t>
  </si>
  <si>
    <t>Indicateur linéaire en aérien x vents forts</t>
  </si>
  <si>
    <t>Indicateur linéaire en aérien x neige</t>
  </si>
  <si>
    <t>Nombre d'interventions</t>
  </si>
  <si>
    <t>Estimation du temps moyen par intervention</t>
  </si>
  <si>
    <t>Durée moyenne d'une intervention</t>
  </si>
  <si>
    <t>heures</t>
  </si>
  <si>
    <t>Durée moyenne de trajet par intervention</t>
  </si>
  <si>
    <t xml:space="preserve">Durée moyenne totale </t>
  </si>
  <si>
    <t>Calcul du coût de maintenance curative</t>
  </si>
  <si>
    <t>Coût horaire technicien</t>
  </si>
  <si>
    <t>Coût main d'œuvre</t>
  </si>
  <si>
    <t>Coût matériel</t>
  </si>
  <si>
    <t>Autres coûts indirects</t>
  </si>
  <si>
    <t>Les cellules en vert sont modifiables/remplissables par l'utilisateur du modèle</t>
  </si>
  <si>
    <t>I. Estimation des tarifs d'abonnement mensuel d'accès aux infrastructures de génie civil de boucle locale optique d'Orange</t>
  </si>
  <si>
    <t>Tarifs de référence
(tarifs entre le 1er mars 2026 et le 28 février 2027)</t>
  </si>
  <si>
    <t>Tarif</t>
  </si>
  <si>
    <t>Abonnement mensuel déploiement massif</t>
  </si>
  <si>
    <t>€/accès programmé/mois</t>
  </si>
  <si>
    <t>Abonnement mensuel déploiement ponctuel</t>
  </si>
  <si>
    <t>€/cm²*m/mois</t>
  </si>
  <si>
    <t>Grandeur</t>
  </si>
  <si>
    <t>Coûts spécifiques aux déploiements fibre en % des coûts transverses cuivre+fibre</t>
  </si>
  <si>
    <t>Taux annuel de croissance du nombre d'accès programmés</t>
  </si>
  <si>
    <t>% par an</t>
  </si>
  <si>
    <t>Taux annuel de croissance du volume de déploiements non mutualisés</t>
  </si>
  <si>
    <t>Année d'estimation des tarifs d'abonnement</t>
  </si>
  <si>
    <t>année</t>
  </si>
  <si>
    <t>Chroniques</t>
  </si>
  <si>
    <t>unité</t>
  </si>
  <si>
    <t>Taux d'inflation annuelle</t>
  </si>
  <si>
    <t>Indice de passage des €2026 en euros courants (base 1 en 2026)</t>
  </si>
  <si>
    <t>N/A : indice rebasé</t>
  </si>
  <si>
    <t>Chronique de coûts (base 100 en 2023) en € constants</t>
  </si>
  <si>
    <t>Chronique de coûts (base 100 en 2026) en € constants</t>
  </si>
  <si>
    <t>Chronique d'indice de passage € constants en € courants</t>
  </si>
  <si>
    <t>Chronique de coûts (base 100 en 2026) en € courants</t>
  </si>
  <si>
    <t>⚠ Afin de réaliser les projections des tarifs, les différentes données sont à estimer, en base 100, à mi année</t>
  </si>
  <si>
    <t xml:space="preserve">Source possible pour ces estimations : Observatoire haut et très haut débit : abonnements et déploiements  </t>
  </si>
  <si>
    <t>Etape</t>
  </si>
  <si>
    <t>Grandeur estimée</t>
  </si>
  <si>
    <t>(a)</t>
  </si>
  <si>
    <t>Coûts de GC de boucle locale transverses cuivre+fibre</t>
  </si>
  <si>
    <t>N/A : montant rebasé</t>
  </si>
  <si>
    <t>(b)</t>
  </si>
  <si>
    <t>Clé d'allocation des coûts à la fibre</t>
  </si>
  <si>
    <t>(a')</t>
  </si>
  <si>
    <t>Coûts de GC de boucle locale spécifiques fibre</t>
  </si>
  <si>
    <t>(c)</t>
  </si>
  <si>
    <t>% volume mutualisé</t>
  </si>
  <si>
    <t>(c')</t>
  </si>
  <si>
    <t>% volume non mutualisé</t>
  </si>
  <si>
    <t>(d)</t>
  </si>
  <si>
    <t>1/nombre d'accès programmé</t>
  </si>
  <si>
    <t>(d')</t>
  </si>
  <si>
    <t>1/volume non mutualisé</t>
  </si>
  <si>
    <t>[(a)*(b)+(a')]*(c)*(d)</t>
  </si>
  <si>
    <t>Tarif abonnement mensuel déploiement massif*</t>
  </si>
  <si>
    <t>(tarif mutualisé année n/tarif 2026)-1</t>
  </si>
  <si>
    <t>Tarif abonnement mensuel déploiement massif : variation en % vs tarif 2026</t>
  </si>
  <si>
    <t>[(a)*(b)+(a')]*(c')*(d')</t>
  </si>
  <si>
    <t>Tarif abonnement mensuel déploiement ponctuel*</t>
  </si>
  <si>
    <t>(tarif non-mutualisé année n/tarif 2026)-1</t>
  </si>
  <si>
    <t>Tarif abonnement mensuel déploiement ponctuel : variation en % vs tarif 2026</t>
  </si>
  <si>
    <t xml:space="preserve"> * Tarif entre début mars de l'année n et fin février de l'année n+1</t>
  </si>
  <si>
    <t>II. Détermination des coûts annuels d'accès aux infrastructures de génie civil de boucle locale optique d'Orange</t>
  </si>
  <si>
    <t>Tarif entre le 1er mars 2025 et le 28 février 2026</t>
  </si>
  <si>
    <t>abonnement mensuel déploiement massif</t>
  </si>
  <si>
    <t>abonnement mensuel déploiement ponctuel</t>
  </si>
  <si>
    <t>Prises programmées mi-année</t>
  </si>
  <si>
    <t>en accès programmés</t>
  </si>
  <si>
    <t>Volume ponctuel à mi-année</t>
  </si>
  <si>
    <t>en m3</t>
  </si>
  <si>
    <t>Coût total de GCBLO pour les déploiements massifs</t>
  </si>
  <si>
    <t>en €/an</t>
  </si>
  <si>
    <t>Coût total de GCBLO pour les déploiements ponctuels</t>
  </si>
  <si>
    <t>Total</t>
  </si>
  <si>
    <t>Calcul du coût des appuis électriques Enedis</t>
  </si>
  <si>
    <t>Nombre d'appuis</t>
  </si>
  <si>
    <t>Coût des appuis électriques Enedis</t>
  </si>
  <si>
    <t>Calcul du coût de maintenance du GC en propre</t>
  </si>
  <si>
    <t>Longueurs de conduites en propre</t>
  </si>
  <si>
    <t>km</t>
  </si>
  <si>
    <t>Nombre d'appuis aériens en propre</t>
  </si>
  <si>
    <t>Coût de maintenance du GC en propre</t>
  </si>
  <si>
    <t>Calcul du coût de location de GC tiers</t>
  </si>
  <si>
    <t>Longueur de GC tiers</t>
  </si>
  <si>
    <t>Coût de location de GC tiers</t>
  </si>
  <si>
    <t>Calcul des coûts indirects</t>
  </si>
  <si>
    <t>Paramètres d'entrée</t>
  </si>
  <si>
    <t>Frais de dégrèvement et de non-valeurs pris en charge par l'Etat et frais d'assiette et de recouvrement 2</t>
  </si>
  <si>
    <t>Tarif de l'IFER applicable au 1er janvier de l'année 1</t>
  </si>
  <si>
    <t>Données de parc</t>
  </si>
  <si>
    <t>dont OC n°1</t>
  </si>
  <si>
    <t>dont OC n°2</t>
  </si>
  <si>
    <t>dont OC n°3</t>
  </si>
  <si>
    <t>…</t>
  </si>
  <si>
    <t xml:space="preserve">Pourcentage des lignes actives installées jusqu'à l'utilisateur final depuis plus de 5 ans 3 </t>
  </si>
  <si>
    <t>Nombre de lignes actives au 1er janvier de l'année 4</t>
  </si>
  <si>
    <t>Coût IFER</t>
  </si>
  <si>
    <t>1 Tarif fixé selon les modalités prévues à l'article 1599 quater B du Code général des impôts. Le tarif au 1er janvier 2026 s'établit à 27,33 € par ligne en service (Bofip)</t>
  </si>
  <si>
    <t>2 Taux prévus par l'article 1641 du Code général des impôts. l'Etat prélève 3% du montant de l'IFER au titre d'une part des frais de dégrèvement et non-valeurs (2% du montant de l'IFER) et d'autre part des frais d'assiette et de recouvrement (1% du montant de l'IFER).</t>
  </si>
  <si>
    <t>3 voir Annexe ci-dessous (Bofip)</t>
  </si>
  <si>
    <t>4 le montant de l'imposition est fonction du nombre de lignes en service que l'équipement comporte au 1er janvier de l'année d'imposition</t>
  </si>
  <si>
    <t>Annexe - Exonération temporaire pour les nouvelles lignes et historique du barème fiscal</t>
  </si>
  <si>
    <t>Bofip</t>
  </si>
  <si>
    <t>BOI-TFP-IFER-90 - TFP - IFER sur les répartiteurs principaux de la boucle locale cuivre et sur les réseaux de communications électroniques en fibre optique et en câble coaxial | bofip.impots.gouv.fr</t>
  </si>
  <si>
    <t>" A compter des impositions dues au titre de 2019, une ligne raccordée par un répartiteur principal, un point de mutualisation ou un nœud de raccordement optique n'est pas prise en compte dans le calcul du montant de l'imposaition de l'équipement pendant les cinq années suivant celle de la première installation jusqu'à l'utilisation final.
Cette exonération de cinq ans pour les nouvelles lignes concerne non seulement toutes le slignes construites à compter de 2019, mais également toutes celles qui auront moins de cinq ans à cette même date.
Pour les impositions dues au titre de 2019, seront exonérées toutes les lignes installées et mises en service après le 1er janvier 2014. Puis, l'année suivante, l'exonération ne s'appliquera plus qu'aux lignes installées et mises en service après le 1er janvier 2015.
les lignes installées et mises en service en 2014 bénéficieront donc d'une exonération d'un an, en 2019; les lignes installées et mises en service en 2015 d'une exonération de deux ans, en 2019 et 2020; les lignes installées et mises en service en 2016 d'une éxonération de trois ans, de 2019 à 2021; les lignes installées et mises en service en 2017 d'une exonération de quatre ans, de 2019 à 2022; les lignes installées et mises en service en 2018 d'une exonération de cinq ans, de 2019 à 2023, etc ".</t>
  </si>
  <si>
    <t xml:space="preserve">Tarif unitaire de l’IFER : historique [2014-2026] (source : BOFIP) et projections [2027-2030] (source : évaluations préalables des articles du projet de loi de finances pour 2024) </t>
  </si>
  <si>
    <t>Projections  - évaluations préalables des articles du projet de loi de finances pour 2024</t>
  </si>
  <si>
    <t>tarif unitaire applicable au 1er janvier par ligne en service</t>
  </si>
  <si>
    <t>références BOFIP</t>
  </si>
  <si>
    <t>Références BOFIP</t>
  </si>
  <si>
    <t>BOI-TFP-IFER-90 - TFP - IFER sur les répartiteurs principaux de la boucle locale cuivre et certains équipements de commutation téléphonique | bofip.impots.gouv.fr</t>
  </si>
  <si>
    <t xml:space="preserve">PLF 2024_Evaluations prealables.pdf (voir pages 197 à 204 , option n°1) </t>
  </si>
  <si>
    <t>Commercialisation au gros</t>
  </si>
  <si>
    <t>Coût total équipes</t>
  </si>
  <si>
    <t>Coût annuel communication</t>
  </si>
  <si>
    <t>Coûts mutualisés</t>
  </si>
  <si>
    <t>Part de l'OI</t>
  </si>
  <si>
    <t>CFE, C3S et CVAE</t>
  </si>
  <si>
    <t>Autres coûts</t>
  </si>
  <si>
    <t>Aérien</t>
  </si>
  <si>
    <t>Souterrain</t>
  </si>
  <si>
    <t>Coûts de Fiscalité hors IFER</t>
  </si>
  <si>
    <t>Volumes</t>
  </si>
  <si>
    <t>Nombre annuel de nouveaux locaux</t>
  </si>
  <si>
    <t>#/an</t>
  </si>
  <si>
    <t>Nombre de nouveaux logements individuels isolés</t>
  </si>
  <si>
    <t>Nombre de nouveaux immeubles collectifs</t>
  </si>
  <si>
    <t>Nombre de nouveaux lotissements</t>
  </si>
  <si>
    <t>Coûts</t>
  </si>
  <si>
    <t>Coûts pilotage</t>
  </si>
  <si>
    <t>Vendée Numérique</t>
  </si>
  <si>
    <t>Markup temps de préparation sur l'intervention</t>
  </si>
  <si>
    <t>Conduite d'activité</t>
  </si>
  <si>
    <t>Coûts de gestion</t>
  </si>
  <si>
    <r>
      <rPr>
        <b/>
        <sz val="14"/>
        <color theme="1"/>
        <rFont val="Calibri"/>
        <family val="2"/>
      </rPr>
      <t>Principes généraux d'utilisation du modèle</t>
    </r>
    <r>
      <rPr>
        <sz val="14"/>
        <color theme="1"/>
        <rFont val="Calibri"/>
        <family val="2"/>
        <charset val="1"/>
      </rPr>
      <t xml:space="preserve">
Le modèle calcule les coûts des briques pour un réseau considéré et une année donnée. 
Les donnés d'entrée doivent être exprimées en euros de l'année considérée.
Les caractéristiques des réseaux considérés doivent être renseignées par l’utilisateur dans l'onglet "Données par OI" (exemple : nombre moyen de PBO).
Certaines données de l’onglet "Données par OI" sont préremplies (exemple : temps de trajet moyen) pour les réseaux métropolitains ayant fait l'objet d'un financement par le plan France Très Haut Débit.
Ensuite l'utilisateur peut sélectionner le réseau à modéliser sur la liste déroulante en cellule E3 de l'onglet "Synthèse".</t>
    </r>
  </si>
  <si>
    <t>Modèle de coûts de maintien en conditions opérationnelles FttH</t>
  </si>
  <si>
    <t>Gers numérique</t>
  </si>
  <si>
    <t>Part des autres coûts</t>
  </si>
  <si>
    <t>RODP et fiscalité hors IFER</t>
  </si>
  <si>
    <t>Commentaires</t>
  </si>
  <si>
    <t>valeur entre 1,20€ et 2,00€</t>
  </si>
  <si>
    <t>à ajuster en fonctiion des dates de commandes d'appuis Enedis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</si>
</sst>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0.00\ &quot;€&quot;_-;\-* #,##0.00\ &quot;€&quot;_-;_-* &quot;-&quot;??\ &quot;€&quot;_-;_-@_-"/>
    <numFmt numFmtId="43" formatCode="_-* #,##0.00_-;\-* #,##0.00_-;_-* &quot;-&quot;??_-;_-@_-"/>
    <numFmt numFmtId="164" formatCode="#,##0&quot; €&quot;;[Red]\-#,##0&quot; €&quot;"/>
    <numFmt numFmtId="165" formatCode="_-* #,##0\ _€_-;\-* #,##0\ _€_-;_-* \-??\ _€_-;_-@_-"/>
    <numFmt numFmtId="166" formatCode="0.000"/>
    <numFmt numFmtId="167" formatCode="#,##0.00&quot; €&quot;;[Red]\-#,##0.00&quot; €&quot;"/>
    <numFmt numFmtId="168" formatCode="_-* #,##0&quot; €&quot;_-;\-* #,##0&quot; €&quot;_-;_-* \-??&quot; €&quot;_-;_-@_-"/>
    <numFmt numFmtId="169" formatCode="0.0000"/>
    <numFmt numFmtId="170" formatCode="0.0%"/>
    <numFmt numFmtId="171" formatCode="#,##0.0;\-#,##0.0;\-"/>
    <numFmt numFmtId="172" formatCode="#,##0.00;\-#,##0.00;\-"/>
    <numFmt numFmtId="173" formatCode="#,##0.0"/>
    <numFmt numFmtId="174" formatCode="0.0"/>
    <numFmt numFmtId="175" formatCode="#,##0.000"/>
    <numFmt numFmtId="176" formatCode="_-* #,##0.00&quot; €&quot;_-;\-* #,##0.00&quot; €&quot;_-;_-* \-??&quot; €&quot;_-;_-@_-"/>
    <numFmt numFmtId="177" formatCode="#,##0;\-#,##0;\-"/>
    <numFmt numFmtId="178" formatCode="_-* #,##0.00\ _€_-;\-* #,##0.00\ _€_-;_-* &quot;-&quot;??\ _€_-;_-@_-"/>
  </numFmts>
  <fonts count="50" x14ac:knownFonts="1">
    <font>
      <sz val="11"/>
      <color theme="1"/>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0"/>
      <name val="Calibri"/>
      <family val="2"/>
      <charset val="1"/>
    </font>
    <font>
      <sz val="14"/>
      <color theme="1"/>
      <name val="Calibri"/>
      <family val="2"/>
      <charset val="1"/>
    </font>
    <font>
      <sz val="11"/>
      <name val="Calibri"/>
      <family val="2"/>
      <charset val="1"/>
    </font>
    <font>
      <b/>
      <sz val="11"/>
      <color theme="1"/>
      <name val="Calibri"/>
      <family val="2"/>
      <charset val="1"/>
    </font>
    <font>
      <i/>
      <sz val="11"/>
      <color theme="1"/>
      <name val="Calibri"/>
      <family val="2"/>
      <charset val="1"/>
    </font>
    <font>
      <b/>
      <sz val="11"/>
      <name val="Calibri"/>
      <family val="2"/>
      <charset val="1"/>
    </font>
    <font>
      <b/>
      <i/>
      <sz val="10"/>
      <name val="Arial"/>
      <family val="2"/>
      <charset val="1"/>
    </font>
    <font>
      <b/>
      <sz val="10"/>
      <name val="Arial"/>
      <family val="2"/>
      <charset val="1"/>
    </font>
    <font>
      <b/>
      <i/>
      <sz val="11"/>
      <color theme="1"/>
      <name val="Calibri"/>
      <family val="2"/>
      <charset val="1"/>
    </font>
    <font>
      <sz val="12"/>
      <color theme="1"/>
      <name val="Calibri"/>
      <family val="2"/>
      <charset val="1"/>
    </font>
    <font>
      <b/>
      <sz val="18"/>
      <color theme="1"/>
      <name val="Calibri"/>
      <family val="2"/>
      <charset val="1"/>
    </font>
    <font>
      <b/>
      <sz val="10"/>
      <color theme="1"/>
      <name val="Calibri"/>
      <family val="2"/>
      <charset val="1"/>
    </font>
    <font>
      <sz val="10"/>
      <color theme="1"/>
      <name val="Calibri"/>
      <family val="2"/>
      <charset val="1"/>
    </font>
    <font>
      <u/>
      <sz val="11"/>
      <color theme="10"/>
      <name val="Calibri"/>
      <family val="2"/>
      <charset val="1"/>
    </font>
    <font>
      <b/>
      <sz val="12"/>
      <color rgb="FFC00000"/>
      <name val="Calibri"/>
      <family val="2"/>
      <charset val="1"/>
    </font>
    <font>
      <b/>
      <sz val="10"/>
      <color rgb="FFC00000"/>
      <name val="Calibri"/>
      <family val="2"/>
      <charset val="1"/>
    </font>
    <font>
      <b/>
      <u/>
      <sz val="10"/>
      <color rgb="FFC00000"/>
      <name val="Calibri"/>
      <family val="2"/>
      <charset val="1"/>
    </font>
    <font>
      <i/>
      <sz val="10"/>
      <name val="Calibri"/>
      <family val="2"/>
      <charset val="1"/>
    </font>
    <font>
      <b/>
      <sz val="10"/>
      <name val="Calibri"/>
      <family val="2"/>
      <charset val="1"/>
    </font>
    <font>
      <i/>
      <sz val="10"/>
      <color theme="1"/>
      <name val="Calibri"/>
      <family val="2"/>
      <charset val="1"/>
    </font>
    <font>
      <b/>
      <sz val="12"/>
      <color theme="5"/>
      <name val="Calibri"/>
      <family val="2"/>
      <charset val="1"/>
    </font>
    <font>
      <b/>
      <sz val="11"/>
      <color theme="5"/>
      <name val="Calibri"/>
      <family val="2"/>
      <charset val="1"/>
    </font>
    <font>
      <b/>
      <u/>
      <sz val="11"/>
      <color theme="1"/>
      <name val="Calibri"/>
      <family val="2"/>
      <charset val="1"/>
    </font>
    <font>
      <b/>
      <sz val="14"/>
      <name val="Calibri"/>
      <family val="2"/>
      <charset val="1"/>
    </font>
    <font>
      <b/>
      <sz val="11"/>
      <color theme="4" tint="-0.249977111117893"/>
      <name val="Calibri"/>
      <family val="2"/>
      <charset val="1"/>
    </font>
    <font>
      <sz val="11"/>
      <color theme="4" tint="-0.249977111117893"/>
      <name val="Calibri"/>
      <family val="2"/>
      <charset val="1"/>
    </font>
    <font>
      <i/>
      <sz val="8"/>
      <color theme="1"/>
      <name val="Calibri"/>
      <family val="2"/>
      <charset val="1"/>
    </font>
    <font>
      <u/>
      <sz val="11"/>
      <color theme="1"/>
      <name val="Calibri"/>
      <family val="2"/>
      <charset val="1"/>
    </font>
    <font>
      <b/>
      <sz val="11"/>
      <color theme="1"/>
      <name val="Calibri"/>
      <family val="2"/>
    </font>
    <font>
      <sz val="11"/>
      <color rgb="FF000000"/>
      <name val="Aptos Narrow"/>
      <family val="2"/>
    </font>
    <font>
      <b/>
      <i/>
      <sz val="11"/>
      <name val="Calibri"/>
      <family val="2"/>
    </font>
    <font>
      <b/>
      <i/>
      <sz val="11"/>
      <color theme="1"/>
      <name val="Calibri"/>
      <family val="2"/>
    </font>
    <font>
      <u/>
      <sz val="11"/>
      <color theme="10"/>
      <name val="Calibri"/>
      <family val="2"/>
      <scheme val="minor"/>
    </font>
    <font>
      <sz val="11"/>
      <color theme="1"/>
      <name val="Calibri"/>
      <family val="2"/>
      <charset val="1"/>
    </font>
    <font>
      <sz val="8"/>
      <name val="Calibri"/>
      <family val="2"/>
      <charset val="1"/>
    </font>
    <font>
      <b/>
      <sz val="14"/>
      <color theme="1"/>
      <name val="Calibri"/>
      <family val="2"/>
    </font>
    <font>
      <sz val="14"/>
      <color theme="1"/>
      <name val="Calibri"/>
      <family val="2"/>
    </font>
    <font>
      <u/>
      <sz val="11"/>
      <name val="Calibri"/>
      <family val="2"/>
      <scheme val="minor"/>
    </font>
    <font>
      <sz val="11"/>
      <name val="Calibri"/>
      <family val="2"/>
    </font>
    <font>
      <b/>
      <sz val="12"/>
      <name val="Calibri"/>
      <family val="2"/>
    </font>
    <font>
      <sz val="12"/>
      <name val="Calibri"/>
      <family val="2"/>
    </font>
    <font>
      <sz val="10"/>
      <name val="Calibri"/>
      <family val="2"/>
    </font>
    <font>
      <u/>
      <sz val="11"/>
      <name val="Calibri"/>
      <family val="2"/>
    </font>
    <font>
      <b/>
      <sz val="28"/>
      <color theme="0"/>
      <name val="Calibri"/>
      <family val="2"/>
    </font>
    <font>
      <b/>
      <sz val="12"/>
      <name val="Calibri"/>
      <family val="2"/>
      <charset val="1"/>
    </font>
    <font>
      <i/>
      <sz val="11"/>
      <color theme="1"/>
      <name val="Calibri"/>
      <family val="2"/>
    </font>
  </fonts>
  <fills count="10">
    <fill>
      <patternFill patternType="none"/>
    </fill>
    <fill>
      <patternFill patternType="gray125"/>
    </fill>
    <fill>
      <patternFill patternType="solid">
        <fgColor theme="0"/>
        <bgColor rgb="FFF2F2F2"/>
      </patternFill>
    </fill>
    <fill>
      <patternFill patternType="solid">
        <fgColor theme="9" tint="0.59978026673177287"/>
        <bgColor rgb="FFE6E0EC"/>
      </patternFill>
    </fill>
    <fill>
      <patternFill patternType="solid">
        <fgColor theme="7" tint="0.79979857783745845"/>
        <bgColor rgb="FFDBEEF4"/>
      </patternFill>
    </fill>
    <fill>
      <patternFill patternType="solid">
        <fgColor theme="4" tint="0.59978026673177287"/>
        <bgColor rgb="FFC0C0C0"/>
      </patternFill>
    </fill>
    <fill>
      <patternFill patternType="solid">
        <fgColor theme="0" tint="-4.9989318521683403E-2"/>
        <bgColor rgb="FFDBEEF4"/>
      </patternFill>
    </fill>
    <fill>
      <patternFill patternType="solid">
        <fgColor theme="0"/>
        <bgColor indexed="64"/>
      </patternFill>
    </fill>
    <fill>
      <patternFill patternType="solid">
        <fgColor theme="6"/>
        <bgColor rgb="FFF2F2F2"/>
      </patternFill>
    </fill>
    <fill>
      <patternFill patternType="solid">
        <fgColor theme="0"/>
        <bgColor rgb="FFE6E0EC"/>
      </patternFill>
    </fill>
  </fills>
  <borders count="44">
    <border>
      <left/>
      <right/>
      <top/>
      <bottom/>
      <diagonal/>
    </border>
    <border>
      <left style="thin">
        <color auto="1"/>
      </left>
      <right style="thin">
        <color auto="1"/>
      </right>
      <top style="thin">
        <color auto="1"/>
      </top>
      <bottom style="thin">
        <color auto="1"/>
      </bottom>
      <diagonal/>
    </border>
    <border>
      <left style="dashed">
        <color auto="1"/>
      </left>
      <right style="dashed">
        <color auto="1"/>
      </right>
      <top style="dashed">
        <color auto="1"/>
      </top>
      <bottom style="dashed">
        <color auto="1"/>
      </bottom>
      <diagonal/>
    </border>
    <border>
      <left style="thin">
        <color theme="0"/>
      </left>
      <right/>
      <top/>
      <bottom/>
      <diagonal/>
    </border>
    <border>
      <left/>
      <right/>
      <top style="thin">
        <color theme="0"/>
      </top>
      <bottom/>
      <diagonal/>
    </border>
    <border>
      <left style="thin">
        <color theme="0"/>
      </left>
      <right/>
      <top style="thin">
        <color theme="0"/>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bottom style="double">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indexed="64"/>
      </right>
      <top style="thin">
        <color indexed="64"/>
      </top>
      <bottom/>
      <diagonal/>
    </border>
  </borders>
  <cellStyleXfs count="10">
    <xf numFmtId="0" fontId="0" fillId="0" borderId="0"/>
    <xf numFmtId="0" fontId="36" fillId="0" borderId="0" applyNumberFormat="0" applyFill="0" applyBorder="0" applyAlignment="0" applyProtection="0"/>
    <xf numFmtId="178" fontId="3" fillId="0" borderId="0" applyFont="0" applyFill="0" applyBorder="0" applyAlignment="0" applyProtection="0"/>
    <xf numFmtId="9" fontId="37"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4" fontId="37" fillId="0" borderId="0" applyFont="0" applyFill="0" applyBorder="0" applyAlignment="0" applyProtection="0"/>
    <xf numFmtId="0" fontId="1" fillId="0" borderId="0"/>
    <xf numFmtId="9" fontId="1" fillId="0" borderId="0" applyFont="0" applyFill="0" applyBorder="0" applyAlignment="0" applyProtection="0"/>
  </cellStyleXfs>
  <cellXfs count="192">
    <xf numFmtId="0" fontId="0" fillId="0" borderId="0" xfId="0"/>
    <xf numFmtId="0" fontId="0" fillId="2" borderId="0" xfId="0" applyFill="1"/>
    <xf numFmtId="0" fontId="7" fillId="2" borderId="0" xfId="0" applyFont="1" applyFill="1"/>
    <xf numFmtId="0" fontId="8" fillId="2" borderId="0" xfId="0" applyFont="1" applyFill="1"/>
    <xf numFmtId="0" fontId="7" fillId="2" borderId="0" xfId="0" applyFont="1" applyFill="1" applyAlignment="1">
      <alignment horizontal="center"/>
    </xf>
    <xf numFmtId="0" fontId="9" fillId="2" borderId="0" xfId="0" applyFont="1" applyFill="1" applyAlignment="1">
      <alignment horizontal="center"/>
    </xf>
    <xf numFmtId="164" fontId="0" fillId="2" borderId="0" xfId="0" applyNumberFormat="1" applyFill="1"/>
    <xf numFmtId="164" fontId="7" fillId="2" borderId="0" xfId="0" applyNumberFormat="1" applyFont="1" applyFill="1"/>
    <xf numFmtId="0" fontId="10" fillId="2" borderId="3" xfId="0" applyFont="1" applyFill="1" applyBorder="1" applyAlignment="1">
      <alignment horizontal="center" vertical="center"/>
    </xf>
    <xf numFmtId="0" fontId="11" fillId="2" borderId="3" xfId="0" applyFont="1" applyFill="1" applyBorder="1" applyAlignment="1">
      <alignment horizontal="center" vertical="center"/>
    </xf>
    <xf numFmtId="0" fontId="8" fillId="2" borderId="0" xfId="0" applyFont="1" applyFill="1" applyAlignment="1">
      <alignment horizontal="center"/>
    </xf>
    <xf numFmtId="165" fontId="0" fillId="2" borderId="0" xfId="0" applyNumberFormat="1" applyFill="1"/>
    <xf numFmtId="0" fontId="0" fillId="2" borderId="0" xfId="0" applyFill="1" applyAlignment="1">
      <alignment wrapText="1"/>
    </xf>
    <xf numFmtId="166" fontId="0" fillId="2" borderId="0" xfId="0" applyNumberFormat="1" applyFill="1"/>
    <xf numFmtId="0" fontId="12" fillId="2" borderId="0" xfId="0" applyFont="1" applyFill="1"/>
    <xf numFmtId="0" fontId="0" fillId="2" borderId="4" xfId="0" applyFont="1" applyFill="1" applyBorder="1" applyAlignment="1">
      <alignment wrapText="1"/>
    </xf>
    <xf numFmtId="0" fontId="8" fillId="2" borderId="5" xfId="0" applyFont="1" applyFill="1" applyBorder="1" applyAlignment="1">
      <alignment horizontal="center"/>
    </xf>
    <xf numFmtId="0" fontId="0" fillId="2" borderId="5" xfId="0" applyFill="1" applyBorder="1"/>
    <xf numFmtId="9" fontId="0" fillId="2" borderId="5" xfId="0" applyNumberFormat="1" applyFill="1" applyBorder="1"/>
    <xf numFmtId="167" fontId="0" fillId="2" borderId="0" xfId="0" applyNumberFormat="1" applyFill="1"/>
    <xf numFmtId="9" fontId="0" fillId="2" borderId="0" xfId="0" applyNumberFormat="1" applyFill="1"/>
    <xf numFmtId="0" fontId="11" fillId="2" borderId="0" xfId="0" applyFont="1" applyFill="1" applyAlignment="1">
      <alignment horizontal="left" vertical="center"/>
    </xf>
    <xf numFmtId="10" fontId="0" fillId="2" borderId="0" xfId="0" applyNumberFormat="1" applyFill="1"/>
    <xf numFmtId="2" fontId="0" fillId="2" borderId="0" xfId="0" applyNumberFormat="1" applyFill="1"/>
    <xf numFmtId="0" fontId="9" fillId="2" borderId="0" xfId="0" applyFont="1" applyFill="1" applyAlignment="1">
      <alignment horizontal="center" vertical="center" wrapText="1"/>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0" fontId="0" fillId="2" borderId="0" xfId="0" applyFont="1" applyFill="1" applyAlignment="1">
      <alignment horizontal="center"/>
    </xf>
    <xf numFmtId="1" fontId="0" fillId="2" borderId="0" xfId="0" applyNumberFormat="1" applyFill="1"/>
    <xf numFmtId="0" fontId="12" fillId="2" borderId="0" xfId="0" applyFont="1" applyFill="1" applyAlignment="1">
      <alignment horizontal="center"/>
    </xf>
    <xf numFmtId="168" fontId="0" fillId="2" borderId="0" xfId="0" applyNumberFormat="1" applyFill="1"/>
    <xf numFmtId="168" fontId="7" fillId="2" borderId="0" xfId="0" applyNumberFormat="1" applyFont="1" applyFill="1"/>
    <xf numFmtId="169" fontId="0" fillId="2" borderId="0" xfId="0" applyNumberFormat="1" applyFill="1"/>
    <xf numFmtId="165" fontId="7" fillId="2" borderId="0" xfId="0" applyNumberFormat="1" applyFont="1" applyFill="1"/>
    <xf numFmtId="2" fontId="7" fillId="2" borderId="0" xfId="0" applyNumberFormat="1" applyFont="1" applyFill="1"/>
    <xf numFmtId="0" fontId="13" fillId="2" borderId="0" xfId="0" applyFont="1" applyFill="1" applyAlignment="1">
      <alignment vertical="center"/>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right" vertical="center" wrapText="1"/>
    </xf>
    <xf numFmtId="0" fontId="4" fillId="2" borderId="9" xfId="0" applyFont="1" applyFill="1" applyBorder="1" applyAlignment="1">
      <alignment horizontal="center" vertical="center"/>
    </xf>
    <xf numFmtId="0" fontId="16" fillId="2" borderId="10" xfId="0" applyFont="1" applyFill="1" applyBorder="1" applyAlignment="1">
      <alignment horizontal="center" vertical="center"/>
    </xf>
    <xf numFmtId="166" fontId="16" fillId="2" borderId="11" xfId="0" applyNumberFormat="1" applyFont="1" applyFill="1" applyBorder="1" applyAlignment="1">
      <alignment vertical="center"/>
    </xf>
    <xf numFmtId="0" fontId="4" fillId="2" borderId="12" xfId="0" applyFont="1" applyFill="1" applyBorder="1" applyAlignment="1">
      <alignment horizontal="center" vertical="center"/>
    </xf>
    <xf numFmtId="0" fontId="16" fillId="2" borderId="13" xfId="0" applyFont="1" applyFill="1" applyBorder="1" applyAlignment="1">
      <alignment horizontal="center" vertical="center"/>
    </xf>
    <xf numFmtId="166" fontId="16" fillId="2" borderId="14" xfId="0" applyNumberFormat="1" applyFont="1" applyFill="1" applyBorder="1" applyAlignment="1">
      <alignment vertical="center"/>
    </xf>
    <xf numFmtId="0" fontId="16" fillId="2" borderId="0" xfId="0" applyFont="1" applyFill="1" applyAlignment="1">
      <alignment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6" fillId="2" borderId="9" xfId="0" applyFont="1" applyFill="1" applyBorder="1" applyAlignment="1">
      <alignment horizontal="center" vertical="center" wrapText="1"/>
    </xf>
    <xf numFmtId="170" fontId="16" fillId="3" borderId="11" xfId="0" applyNumberFormat="1" applyFont="1" applyFill="1" applyBorder="1" applyAlignment="1">
      <alignment vertical="center"/>
    </xf>
    <xf numFmtId="0" fontId="16" fillId="2" borderId="15" xfId="0" applyFont="1" applyFill="1" applyBorder="1" applyAlignment="1">
      <alignment horizontal="center" vertical="center" wrapText="1"/>
    </xf>
    <xf numFmtId="0" fontId="16" fillId="2" borderId="1" xfId="0" applyFont="1" applyFill="1" applyBorder="1" applyAlignment="1">
      <alignment horizontal="center" vertical="center"/>
    </xf>
    <xf numFmtId="170" fontId="16" fillId="3" borderId="16" xfId="0" applyNumberFormat="1" applyFont="1" applyFill="1" applyBorder="1" applyAlignment="1">
      <alignment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xf>
    <xf numFmtId="1" fontId="4" fillId="3" borderId="14" xfId="0" applyNumberFormat="1" applyFont="1" applyFill="1" applyBorder="1" applyAlignment="1">
      <alignment vertical="center"/>
    </xf>
    <xf numFmtId="0" fontId="6" fillId="2" borderId="0" xfId="0" applyFont="1" applyFill="1"/>
    <xf numFmtId="0" fontId="6" fillId="2" borderId="17" xfId="0" applyFont="1" applyFill="1" applyBorder="1"/>
    <xf numFmtId="9" fontId="6" fillId="3" borderId="18" xfId="0" applyNumberFormat="1" applyFont="1" applyFill="1" applyBorder="1"/>
    <xf numFmtId="9" fontId="6" fillId="3" borderId="19" xfId="0" applyNumberFormat="1" applyFont="1" applyFill="1" applyBorder="1"/>
    <xf numFmtId="9" fontId="6" fillId="3" borderId="20" xfId="0" applyNumberFormat="1" applyFont="1" applyFill="1" applyBorder="1"/>
    <xf numFmtId="0" fontId="0" fillId="2" borderId="21" xfId="0" applyFont="1" applyFill="1" applyBorder="1"/>
    <xf numFmtId="0" fontId="0" fillId="2" borderId="22" xfId="0" applyFill="1" applyBorder="1"/>
    <xf numFmtId="2" fontId="0" fillId="2" borderId="23" xfId="0" applyNumberFormat="1" applyFill="1" applyBorder="1"/>
    <xf numFmtId="2" fontId="0" fillId="2" borderId="24" xfId="0" applyNumberFormat="1" applyFill="1" applyBorder="1"/>
    <xf numFmtId="3" fontId="16" fillId="2" borderId="0" xfId="0" applyNumberFormat="1" applyFont="1" applyFill="1" applyAlignment="1">
      <alignment vertical="center"/>
    </xf>
    <xf numFmtId="0" fontId="15" fillId="2" borderId="1" xfId="0" applyFont="1" applyFill="1" applyBorder="1" applyAlignment="1">
      <alignment vertical="center"/>
    </xf>
    <xf numFmtId="0" fontId="17" fillId="2" borderId="0" xfId="0" applyFont="1" applyFill="1" applyAlignment="1">
      <alignment horizontal="right" vertical="center"/>
    </xf>
    <xf numFmtId="171" fontId="16" fillId="2" borderId="1" xfId="0" applyNumberFormat="1" applyFont="1" applyFill="1" applyBorder="1" applyAlignment="1">
      <alignment vertical="center"/>
    </xf>
    <xf numFmtId="0" fontId="16" fillId="2" borderId="0" xfId="0" applyFont="1" applyFill="1" applyAlignment="1">
      <alignment horizontal="right" vertical="center"/>
    </xf>
    <xf numFmtId="172" fontId="16" fillId="2" borderId="1" xfId="0" applyNumberFormat="1" applyFont="1" applyFill="1" applyBorder="1" applyAlignment="1">
      <alignment vertical="center"/>
    </xf>
    <xf numFmtId="0" fontId="18" fillId="2" borderId="0" xfId="0" applyFont="1" applyFill="1" applyAlignment="1">
      <alignment vertical="center"/>
    </xf>
    <xf numFmtId="0" fontId="19" fillId="2" borderId="0" xfId="0" applyFont="1" applyFill="1" applyAlignment="1">
      <alignment vertical="center"/>
    </xf>
    <xf numFmtId="0" fontId="20" fillId="2" borderId="0" xfId="0" applyFont="1" applyFill="1" applyAlignment="1">
      <alignment vertical="center"/>
    </xf>
    <xf numFmtId="0" fontId="15" fillId="2" borderId="0" xfId="0" applyFont="1" applyFill="1" applyAlignment="1">
      <alignment horizontal="center" vertical="center"/>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173" fontId="16" fillId="2" borderId="1" xfId="0" applyNumberFormat="1" applyFont="1" applyFill="1" applyBorder="1" applyAlignment="1">
      <alignment horizontal="right" vertical="center"/>
    </xf>
    <xf numFmtId="0" fontId="16" fillId="2" borderId="1" xfId="0" applyFont="1" applyFill="1" applyBorder="1" applyAlignment="1">
      <alignment horizontal="right" vertical="center"/>
    </xf>
    <xf numFmtId="0" fontId="16" fillId="3" borderId="1" xfId="0" applyFont="1" applyFill="1" applyBorder="1" applyAlignment="1">
      <alignment horizontal="right" vertical="center"/>
    </xf>
    <xf numFmtId="174" fontId="16" fillId="2" borderId="1" xfId="0" applyNumberFormat="1" applyFont="1" applyFill="1" applyBorder="1" applyAlignment="1">
      <alignment horizontal="right" vertical="center"/>
    </xf>
    <xf numFmtId="4" fontId="16" fillId="2" borderId="1" xfId="0" applyNumberFormat="1" applyFont="1" applyFill="1" applyBorder="1" applyAlignment="1">
      <alignment horizontal="right" vertical="center"/>
    </xf>
    <xf numFmtId="4" fontId="16" fillId="3" borderId="1" xfId="0" applyNumberFormat="1" applyFont="1" applyFill="1" applyBorder="1" applyAlignment="1">
      <alignment horizontal="right" vertical="center"/>
    </xf>
    <xf numFmtId="0" fontId="16" fillId="2" borderId="0" xfId="0" applyFont="1" applyFill="1" applyAlignment="1">
      <alignment horizontal="center" vertical="center"/>
    </xf>
    <xf numFmtId="0" fontId="16" fillId="2" borderId="0" xfId="0" applyFont="1" applyFill="1" applyAlignment="1">
      <alignment horizontal="center" vertical="center" wrapText="1"/>
    </xf>
    <xf numFmtId="0" fontId="4" fillId="2" borderId="0" xfId="0" applyFont="1" applyFill="1" applyAlignment="1">
      <alignment horizontal="center" vertical="center"/>
    </xf>
    <xf numFmtId="0" fontId="21" fillId="2" borderId="0" xfId="0" applyFont="1" applyFill="1" applyAlignment="1">
      <alignment horizontal="right" vertical="center"/>
    </xf>
    <xf numFmtId="0" fontId="22" fillId="2" borderId="1" xfId="0" applyFont="1" applyFill="1" applyBorder="1" applyAlignment="1">
      <alignment horizontal="center" vertical="center" wrapText="1"/>
    </xf>
    <xf numFmtId="3" fontId="4" fillId="2" borderId="1" xfId="0" applyNumberFormat="1" applyFont="1" applyFill="1" applyBorder="1" applyAlignment="1">
      <alignment horizontal="right" vertical="center"/>
    </xf>
    <xf numFmtId="9" fontId="4" fillId="2" borderId="1" xfId="0" applyNumberFormat="1" applyFont="1" applyFill="1" applyBorder="1" applyAlignment="1">
      <alignment horizontal="right" vertical="center"/>
    </xf>
    <xf numFmtId="0" fontId="4" fillId="2" borderId="0" xfId="0" applyFont="1" applyFill="1" applyAlignment="1">
      <alignment horizontal="center" vertical="center" wrapText="1"/>
    </xf>
    <xf numFmtId="0" fontId="4" fillId="2" borderId="0" xfId="0" applyFont="1" applyFill="1" applyAlignment="1">
      <alignment horizontal="right" vertical="center"/>
    </xf>
    <xf numFmtId="175" fontId="22" fillId="2" borderId="1" xfId="0" applyNumberFormat="1" applyFont="1" applyFill="1" applyBorder="1" applyAlignment="1">
      <alignment horizontal="right" vertical="center"/>
    </xf>
    <xf numFmtId="0" fontId="23" fillId="2" borderId="0" xfId="0" applyFont="1" applyFill="1" applyAlignment="1">
      <alignment vertical="center"/>
    </xf>
    <xf numFmtId="0" fontId="15" fillId="2" borderId="25" xfId="0" applyFont="1" applyFill="1" applyBorder="1" applyAlignment="1">
      <alignment horizontal="center" vertical="center"/>
    </xf>
    <xf numFmtId="0" fontId="15" fillId="2" borderId="26" xfId="0" applyFont="1" applyFill="1" applyBorder="1" applyAlignment="1">
      <alignment horizontal="right" vertical="center"/>
    </xf>
    <xf numFmtId="0" fontId="16" fillId="2" borderId="27" xfId="0" applyFont="1" applyFill="1" applyBorder="1" applyAlignment="1">
      <alignment horizontal="center" vertical="center"/>
    </xf>
    <xf numFmtId="166" fontId="16" fillId="2" borderId="28" xfId="0" applyNumberFormat="1" applyFont="1" applyFill="1" applyBorder="1" applyAlignment="1">
      <alignment vertical="center"/>
    </xf>
    <xf numFmtId="0" fontId="16" fillId="2" borderId="21" xfId="0" applyFont="1" applyFill="1" applyBorder="1" applyAlignment="1">
      <alignment horizontal="center" vertical="center"/>
    </xf>
    <xf numFmtId="166" fontId="16" fillId="2" borderId="24" xfId="0" applyNumberFormat="1" applyFont="1" applyFill="1" applyBorder="1" applyAlignment="1">
      <alignment vertical="center"/>
    </xf>
    <xf numFmtId="0" fontId="16" fillId="2" borderId="18" xfId="0" applyFont="1" applyFill="1" applyBorder="1" applyAlignment="1">
      <alignment horizontal="center" vertical="center"/>
    </xf>
    <xf numFmtId="0" fontId="16" fillId="2" borderId="17" xfId="0" applyFont="1" applyFill="1" applyBorder="1" applyAlignment="1">
      <alignment horizontal="center" vertical="center"/>
    </xf>
    <xf numFmtId="0" fontId="16" fillId="3" borderId="19" xfId="0" applyFont="1" applyFill="1" applyBorder="1" applyAlignment="1">
      <alignment vertical="center"/>
    </xf>
    <xf numFmtId="0" fontId="16" fillId="3" borderId="20" xfId="0" applyFont="1" applyFill="1" applyBorder="1" applyAlignment="1">
      <alignment vertical="center"/>
    </xf>
    <xf numFmtId="0" fontId="16" fillId="2" borderId="29" xfId="0" applyFont="1" applyFill="1" applyBorder="1" applyAlignment="1">
      <alignment horizontal="center" vertical="center"/>
    </xf>
    <xf numFmtId="0" fontId="16" fillId="2" borderId="25" xfId="0" applyFont="1" applyFill="1" applyBorder="1" applyAlignment="1">
      <alignment horizontal="center" vertical="center"/>
    </xf>
    <xf numFmtId="0" fontId="16" fillId="3" borderId="30" xfId="0" applyFont="1" applyFill="1" applyBorder="1" applyAlignment="1">
      <alignment vertical="center"/>
    </xf>
    <xf numFmtId="0" fontId="16" fillId="3" borderId="26" xfId="0" applyFont="1" applyFill="1" applyBorder="1" applyAlignment="1">
      <alignment vertical="center"/>
    </xf>
    <xf numFmtId="0" fontId="16" fillId="2" borderId="22" xfId="0" applyFont="1" applyFill="1" applyBorder="1" applyAlignment="1">
      <alignment horizontal="center" vertical="center" wrapText="1"/>
    </xf>
    <xf numFmtId="1" fontId="16" fillId="2" borderId="23" xfId="0" applyNumberFormat="1" applyFont="1" applyFill="1" applyBorder="1" applyAlignment="1">
      <alignment vertical="center"/>
    </xf>
    <xf numFmtId="0" fontId="16" fillId="2" borderId="23" xfId="0" applyFont="1" applyFill="1" applyBorder="1" applyAlignment="1">
      <alignment vertical="center"/>
    </xf>
    <xf numFmtId="0" fontId="16" fillId="2" borderId="24" xfId="0" applyFont="1" applyFill="1" applyBorder="1" applyAlignment="1">
      <alignment vertical="center"/>
    </xf>
    <xf numFmtId="10" fontId="16" fillId="2" borderId="0" xfId="0" applyNumberFormat="1" applyFont="1" applyFill="1" applyAlignment="1">
      <alignment vertical="center"/>
    </xf>
    <xf numFmtId="0" fontId="24" fillId="2" borderId="0" xfId="0" applyFont="1" applyFill="1" applyAlignment="1">
      <alignment horizontal="right"/>
    </xf>
    <xf numFmtId="0" fontId="24" fillId="2" borderId="0" xfId="0" applyFont="1" applyFill="1"/>
    <xf numFmtId="0" fontId="25" fillId="2" borderId="0" xfId="0" applyFont="1" applyFill="1"/>
    <xf numFmtId="9" fontId="7" fillId="4" borderId="1" xfId="0" applyNumberFormat="1" applyFont="1" applyFill="1" applyBorder="1" applyAlignment="1">
      <alignment horizontal="right" vertical="center"/>
    </xf>
    <xf numFmtId="0" fontId="8" fillId="2" borderId="0" xfId="0" applyFont="1" applyFill="1" applyAlignment="1">
      <alignment horizontal="left"/>
    </xf>
    <xf numFmtId="0" fontId="0" fillId="2" borderId="0" xfId="0" applyFill="1" applyAlignment="1">
      <alignment horizontal="right"/>
    </xf>
    <xf numFmtId="176" fontId="7" fillId="4" borderId="1" xfId="0" applyNumberFormat="1" applyFont="1" applyFill="1" applyBorder="1" applyAlignment="1">
      <alignment horizontal="right" vertical="center"/>
    </xf>
    <xf numFmtId="0" fontId="26" fillId="5" borderId="1" xfId="0" applyFont="1" applyFill="1" applyBorder="1" applyAlignment="1">
      <alignment horizontal="right" vertical="center"/>
    </xf>
    <xf numFmtId="9" fontId="12" fillId="4" borderId="1" xfId="0" applyNumberFormat="1" applyFont="1" applyFill="1" applyBorder="1" applyAlignment="1">
      <alignment horizontal="right"/>
    </xf>
    <xf numFmtId="0" fontId="0" fillId="4" borderId="1" xfId="0" applyFill="1" applyBorder="1" applyAlignment="1">
      <alignment horizontal="right"/>
    </xf>
    <xf numFmtId="0" fontId="12" fillId="4" borderId="1" xfId="0" applyFont="1" applyFill="1" applyBorder="1" applyAlignment="1">
      <alignment horizontal="right"/>
    </xf>
    <xf numFmtId="0" fontId="25" fillId="2" borderId="0" xfId="0" applyFont="1" applyFill="1" applyAlignment="1">
      <alignment horizontal="right"/>
    </xf>
    <xf numFmtId="177" fontId="0" fillId="4" borderId="1" xfId="0" applyNumberFormat="1" applyFill="1" applyBorder="1" applyAlignment="1">
      <alignment horizontal="right"/>
    </xf>
    <xf numFmtId="4" fontId="0" fillId="2" borderId="0" xfId="0" applyNumberFormat="1" applyFont="1" applyFill="1"/>
    <xf numFmtId="0" fontId="8" fillId="0" borderId="0" xfId="0" applyFont="1"/>
    <xf numFmtId="0" fontId="27" fillId="2" borderId="31" xfId="0" applyFont="1" applyFill="1" applyBorder="1"/>
    <xf numFmtId="0" fontId="0" fillId="2" borderId="31" xfId="0" applyFill="1" applyBorder="1"/>
    <xf numFmtId="0" fontId="26" fillId="2" borderId="0" xfId="0" applyFont="1" applyFill="1"/>
    <xf numFmtId="0" fontId="7" fillId="2" borderId="1" xfId="0" applyFont="1" applyFill="1" applyBorder="1" applyAlignment="1">
      <alignment horizontal="center" vertical="center"/>
    </xf>
    <xf numFmtId="0" fontId="0" fillId="2" borderId="33" xfId="0" applyFont="1" applyFill="1" applyBorder="1"/>
    <xf numFmtId="0" fontId="0" fillId="2" borderId="34" xfId="0" applyFill="1" applyBorder="1"/>
    <xf numFmtId="0" fontId="0" fillId="2" borderId="35" xfId="0" applyFill="1" applyBorder="1"/>
    <xf numFmtId="176" fontId="0" fillId="2" borderId="1" xfId="0" applyNumberFormat="1" applyFill="1" applyBorder="1" applyAlignment="1">
      <alignment horizontal="center" vertical="center"/>
    </xf>
    <xf numFmtId="176" fontId="29" fillId="2" borderId="1" xfId="0" applyNumberFormat="1" applyFont="1" applyFill="1" applyBorder="1" applyAlignment="1">
      <alignment horizontal="center" vertical="center"/>
    </xf>
    <xf numFmtId="0" fontId="8" fillId="2" borderId="33" xfId="0" applyFont="1" applyFill="1" applyBorder="1"/>
    <xf numFmtId="0" fontId="8" fillId="2" borderId="34" xfId="0" applyFont="1" applyFill="1" applyBorder="1"/>
    <xf numFmtId="0" fontId="8" fillId="2" borderId="35" xfId="0" applyFont="1" applyFill="1" applyBorder="1"/>
    <xf numFmtId="0" fontId="30" fillId="2" borderId="1" xfId="0" applyFont="1" applyFill="1" applyBorder="1" applyAlignment="1">
      <alignment horizontal="center" vertical="center"/>
    </xf>
    <xf numFmtId="0" fontId="30" fillId="2" borderId="33" xfId="0" applyFont="1" applyFill="1" applyBorder="1" applyAlignment="1">
      <alignment vertical="center"/>
    </xf>
    <xf numFmtId="0" fontId="31" fillId="2" borderId="0" xfId="0" applyFont="1" applyFill="1"/>
    <xf numFmtId="0" fontId="8" fillId="2" borderId="0" xfId="0" applyFont="1" applyFill="1" applyAlignment="1">
      <alignment horizontal="center" vertical="center"/>
    </xf>
    <xf numFmtId="0" fontId="17" fillId="2" borderId="0" xfId="0" applyFont="1" applyFill="1"/>
    <xf numFmtId="0" fontId="9" fillId="2" borderId="0" xfId="0" applyFont="1" applyFill="1"/>
    <xf numFmtId="0" fontId="33" fillId="0" borderId="0" xfId="0" applyFont="1"/>
    <xf numFmtId="0" fontId="34" fillId="2" borderId="0" xfId="0" applyFont="1" applyFill="1"/>
    <xf numFmtId="0" fontId="32" fillId="2" borderId="0" xfId="0" applyFont="1" applyFill="1"/>
    <xf numFmtId="0" fontId="35" fillId="2" borderId="0" xfId="0" applyFont="1" applyFill="1"/>
    <xf numFmtId="2" fontId="0" fillId="7" borderId="0" xfId="0" applyNumberFormat="1" applyFill="1"/>
    <xf numFmtId="0" fontId="0" fillId="7" borderId="0" xfId="0" applyFill="1"/>
    <xf numFmtId="0" fontId="0" fillId="2" borderId="0" xfId="0" applyFill="1" applyAlignment="1">
      <alignment horizontal="center"/>
    </xf>
    <xf numFmtId="9" fontId="0" fillId="2" borderId="0" xfId="0" applyNumberFormat="1" applyFill="1" applyBorder="1"/>
    <xf numFmtId="44" fontId="0" fillId="2" borderId="0" xfId="7" applyFont="1" applyFill="1"/>
    <xf numFmtId="1" fontId="1" fillId="7" borderId="0" xfId="8" applyNumberFormat="1" applyFill="1"/>
    <xf numFmtId="1" fontId="1" fillId="0" borderId="0" xfId="8" applyNumberFormat="1" applyFill="1"/>
    <xf numFmtId="0" fontId="41" fillId="2" borderId="1" xfId="1" applyFont="1" applyFill="1" applyBorder="1" applyAlignment="1">
      <alignment horizontal="center" vertical="center" wrapText="1"/>
    </xf>
    <xf numFmtId="0" fontId="42" fillId="2" borderId="0" xfId="0" applyFont="1" applyFill="1"/>
    <xf numFmtId="0" fontId="43" fillId="2" borderId="0" xfId="0" applyFont="1" applyFill="1" applyAlignment="1">
      <alignment horizontal="center" vertical="center"/>
    </xf>
    <xf numFmtId="0" fontId="44" fillId="2" borderId="0" xfId="0" applyFont="1" applyFill="1" applyAlignment="1">
      <alignment vertical="center"/>
    </xf>
    <xf numFmtId="0" fontId="45" fillId="2" borderId="0" xfId="0" applyFont="1" applyFill="1" applyAlignment="1">
      <alignment vertical="center"/>
    </xf>
    <xf numFmtId="0" fontId="46" fillId="2" borderId="0" xfId="0" applyFont="1" applyFill="1" applyAlignment="1">
      <alignment horizontal="center" vertical="center"/>
    </xf>
    <xf numFmtId="0" fontId="45" fillId="2" borderId="0" xfId="0" applyFont="1" applyFill="1" applyAlignment="1">
      <alignment horizontal="left" vertical="center"/>
    </xf>
    <xf numFmtId="0" fontId="42" fillId="2" borderId="2" xfId="0" applyFont="1" applyFill="1" applyBorder="1" applyAlignment="1">
      <alignment horizontal="center" vertical="center" wrapText="1"/>
    </xf>
    <xf numFmtId="0" fontId="41" fillId="2" borderId="1" xfId="1" applyFont="1" applyFill="1" applyBorder="1" applyAlignment="1">
      <alignment horizontal="center" vertical="center"/>
    </xf>
    <xf numFmtId="9" fontId="0" fillId="2" borderId="0" xfId="3" applyFont="1" applyFill="1"/>
    <xf numFmtId="9" fontId="1" fillId="7" borderId="0" xfId="3" applyFont="1" applyFill="1"/>
    <xf numFmtId="9" fontId="1" fillId="0" borderId="0" xfId="3" applyFont="1" applyFill="1"/>
    <xf numFmtId="0" fontId="14" fillId="9" borderId="0" xfId="0" applyFont="1" applyFill="1" applyAlignment="1">
      <alignment vertical="center"/>
    </xf>
    <xf numFmtId="0" fontId="48" fillId="2" borderId="0" xfId="0" applyFont="1" applyFill="1" applyAlignment="1">
      <alignment horizontal="left"/>
    </xf>
    <xf numFmtId="0" fontId="48" fillId="2" borderId="0" xfId="0" applyFont="1" applyFill="1"/>
    <xf numFmtId="0" fontId="17" fillId="7" borderId="0" xfId="0" applyFont="1" applyFill="1"/>
    <xf numFmtId="0" fontId="40" fillId="2" borderId="32" xfId="0" applyFont="1" applyFill="1" applyBorder="1" applyAlignment="1">
      <alignment horizontal="center" vertical="center" wrapText="1"/>
    </xf>
    <xf numFmtId="0" fontId="40" fillId="2" borderId="37" xfId="0" applyFont="1" applyFill="1" applyBorder="1" applyAlignment="1">
      <alignment horizontal="center" vertical="center" wrapText="1"/>
    </xf>
    <xf numFmtId="0" fontId="40" fillId="2" borderId="38" xfId="0" applyFont="1" applyFill="1" applyBorder="1" applyAlignment="1">
      <alignment horizontal="center" vertical="center" wrapText="1"/>
    </xf>
    <xf numFmtId="0" fontId="40" fillId="2" borderId="39" xfId="0" applyFont="1" applyFill="1" applyBorder="1" applyAlignment="1">
      <alignment horizontal="center" vertical="center" wrapText="1"/>
    </xf>
    <xf numFmtId="0" fontId="40" fillId="2" borderId="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0" fillId="2" borderId="41" xfId="0" applyFont="1" applyFill="1" applyBorder="1" applyAlignment="1">
      <alignment horizontal="center" vertical="center" wrapText="1"/>
    </xf>
    <xf numFmtId="0" fontId="40" fillId="2" borderId="36" xfId="0" applyFont="1" applyFill="1" applyBorder="1" applyAlignment="1">
      <alignment horizontal="center" vertical="center" wrapText="1"/>
    </xf>
    <xf numFmtId="0" fontId="40" fillId="2" borderId="42" xfId="0" applyFont="1" applyFill="1" applyBorder="1" applyAlignment="1">
      <alignment horizontal="center" vertical="center" wrapText="1"/>
    </xf>
    <xf numFmtId="0" fontId="47" fillId="8" borderId="0" xfId="0" applyFont="1" applyFill="1" applyAlignment="1">
      <alignment horizontal="center" vertical="center" wrapText="1"/>
    </xf>
    <xf numFmtId="0" fontId="0" fillId="6" borderId="32" xfId="0" applyFont="1" applyFill="1" applyBorder="1" applyAlignment="1">
      <alignment horizontal="center" vertical="center" wrapText="1"/>
    </xf>
    <xf numFmtId="0" fontId="0" fillId="6" borderId="43" xfId="0" applyFont="1" applyFill="1" applyBorder="1" applyAlignment="1">
      <alignment horizontal="center" vertical="center" wrapText="1"/>
    </xf>
    <xf numFmtId="0" fontId="0" fillId="6" borderId="33"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28" fillId="2" borderId="33" xfId="0" applyFont="1" applyFill="1" applyBorder="1" applyAlignment="1">
      <alignment horizontal="center" wrapText="1"/>
    </xf>
    <xf numFmtId="0" fontId="28" fillId="2" borderId="1" xfId="0" applyFont="1" applyFill="1" applyBorder="1" applyAlignment="1">
      <alignment horizontal="center" wrapText="1"/>
    </xf>
    <xf numFmtId="0" fontId="30" fillId="2" borderId="33" xfId="0" applyFont="1" applyFill="1" applyBorder="1" applyAlignment="1">
      <alignment horizontal="center" vertical="center"/>
    </xf>
    <xf numFmtId="0" fontId="30" fillId="2" borderId="1" xfId="0" applyFont="1" applyFill="1" applyBorder="1" applyAlignment="1">
      <alignment horizontal="center" vertical="center"/>
    </xf>
    <xf numFmtId="0" fontId="49" fillId="2" borderId="0" xfId="0" applyFont="1" applyFill="1"/>
  </cellXfs>
  <cellStyles count="10">
    <cellStyle name="Lien hypertexte" xfId="1" builtinId="8"/>
    <cellStyle name="Milliers 2" xfId="2" xr:uid="{C48DB26E-1482-4050-B942-6AF60497334E}"/>
    <cellStyle name="Milliers 3" xfId="6" xr:uid="{98FDACBE-5E78-4462-9934-B19B57654B71}"/>
    <cellStyle name="Monétaire" xfId="7" builtinId="4"/>
    <cellStyle name="Normal" xfId="0" builtinId="0"/>
    <cellStyle name="Normal 2" xfId="4" xr:uid="{4D62B522-9FA5-4DA3-86C1-EC3EFB20F7BD}"/>
    <cellStyle name="Normal 3" xfId="8" xr:uid="{CEAA7AEA-1F43-4968-AFB6-CFA74372256F}"/>
    <cellStyle name="Pourcentage" xfId="3" builtinId="5"/>
    <cellStyle name="Pourcentage 2" xfId="5" xr:uid="{D853CE3E-0794-4C9F-8B13-7F4E4A2A746B}"/>
    <cellStyle name="Pourcentage 3" xfId="9" xr:uid="{8D2B9E49-C6E0-468F-91AD-C4229F0FC54D}"/>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0504D"/>
      <rgbColor rgb="FFF2F2F2"/>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E6E0EC"/>
      <rgbColor rgb="FFCCFFCC"/>
      <rgbColor rgb="FFFFFF99"/>
      <rgbColor rgb="FF99CCFF"/>
      <rgbColor rgb="FFFF99CC"/>
      <rgbColor rgb="FFCC99FF"/>
      <rgbColor rgb="FFFCD5B5"/>
      <rgbColor rgb="FF3366FF"/>
      <rgbColor rgb="FF33CCCC"/>
      <rgbColor rgb="FF99CC00"/>
      <rgbColor rgb="FFFFCC00"/>
      <rgbColor rgb="FFFF9900"/>
      <rgbColor rgb="FFFF6600"/>
      <rgbColor rgb="FF376092"/>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D51515"/>
      <color rgb="FFEB3535"/>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76200</xdr:colOff>
      <xdr:row>20</xdr:row>
      <xdr:rowOff>57150</xdr:rowOff>
    </xdr:from>
    <xdr:to>
      <xdr:col>4</xdr:col>
      <xdr:colOff>19050</xdr:colOff>
      <xdr:row>26</xdr:row>
      <xdr:rowOff>19050</xdr:rowOff>
    </xdr:to>
    <xdr:sp macro="" textlink="">
      <xdr:nvSpPr>
        <xdr:cNvPr id="2" name="Accolade fermante 1">
          <a:extLst>
            <a:ext uri="{FF2B5EF4-FFF2-40B4-BE49-F238E27FC236}">
              <a16:creationId xmlns:a16="http://schemas.microsoft.com/office/drawing/2014/main" id="{295C4A67-6A29-CCA6-8A06-76DEC2D883AA}"/>
            </a:ext>
          </a:extLst>
        </xdr:cNvPr>
        <xdr:cNvSpPr/>
      </xdr:nvSpPr>
      <xdr:spPr>
        <a:xfrm>
          <a:off x="5876925" y="4610100"/>
          <a:ext cx="371475" cy="136207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Office Theme">
  <a:themeElements>
    <a:clrScheme name="Arcep">
      <a:dk1>
        <a:srgbClr val="000000"/>
      </a:dk1>
      <a:lt1>
        <a:sysClr val="window" lastClr="FFFFFF"/>
      </a:lt1>
      <a:dk2>
        <a:srgbClr val="232253"/>
      </a:dk2>
      <a:lt2>
        <a:srgbClr val="C9C0B1"/>
      </a:lt2>
      <a:accent1>
        <a:srgbClr val="084E8E"/>
      </a:accent1>
      <a:accent2>
        <a:srgbClr val="CDE5F6"/>
      </a:accent2>
      <a:accent3>
        <a:srgbClr val="E56463"/>
      </a:accent3>
      <a:accent4>
        <a:srgbClr val="6560A8"/>
      </a:accent4>
      <a:accent5>
        <a:srgbClr val="67B4CE"/>
      </a:accent5>
      <a:accent6>
        <a:srgbClr val="F07374"/>
      </a:accent6>
      <a:hlink>
        <a:srgbClr val="5AC5CD"/>
      </a:hlink>
      <a:folHlink>
        <a:srgbClr val="E67FA3"/>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M28"/>
  <sheetViews>
    <sheetView zoomScaleNormal="100" workbookViewId="0"/>
  </sheetViews>
  <sheetFormatPr baseColWidth="10" defaultColWidth="8.5703125" defaultRowHeight="15" customHeight="1" x14ac:dyDescent="0.25"/>
  <cols>
    <col min="1" max="1" width="56.42578125" style="1" customWidth="1"/>
    <col min="2" max="2" width="4.85546875" style="1" customWidth="1"/>
    <col min="3" max="3" width="25.7109375" style="158" customWidth="1"/>
    <col min="4" max="4" width="6.42578125" style="158" customWidth="1"/>
    <col min="5" max="5" width="19.85546875" style="158" customWidth="1"/>
    <col min="6" max="6" width="4.42578125" style="1" customWidth="1"/>
    <col min="7" max="9" width="8.5703125" style="1"/>
    <col min="10" max="11" width="10.85546875" style="1" customWidth="1"/>
    <col min="12" max="16384" width="8.5703125" style="1"/>
  </cols>
  <sheetData>
    <row r="2" spans="1:13" ht="31.5" customHeight="1" x14ac:dyDescent="0.25">
      <c r="A2" s="182" t="s">
        <v>465</v>
      </c>
      <c r="C2" s="157" t="s">
        <v>0</v>
      </c>
      <c r="G2" s="173" t="s">
        <v>464</v>
      </c>
      <c r="H2" s="174"/>
      <c r="I2" s="174"/>
      <c r="J2" s="174"/>
      <c r="K2" s="174"/>
      <c r="L2" s="174"/>
      <c r="M2" s="175"/>
    </row>
    <row r="3" spans="1:13" ht="15" customHeight="1" x14ac:dyDescent="0.25">
      <c r="A3" s="182"/>
      <c r="G3" s="176"/>
      <c r="H3" s="177"/>
      <c r="I3" s="177"/>
      <c r="J3" s="177"/>
      <c r="K3" s="177"/>
      <c r="L3" s="177"/>
      <c r="M3" s="178"/>
    </row>
    <row r="4" spans="1:13" ht="15.75" customHeight="1" x14ac:dyDescent="0.25">
      <c r="A4" s="182"/>
      <c r="C4" s="159" t="s">
        <v>1</v>
      </c>
      <c r="D4" s="160"/>
      <c r="E4" s="160"/>
      <c r="G4" s="176"/>
      <c r="H4" s="177"/>
      <c r="I4" s="177"/>
      <c r="J4" s="177"/>
      <c r="K4" s="177"/>
      <c r="L4" s="177"/>
      <c r="M4" s="178"/>
    </row>
    <row r="5" spans="1:13" ht="5.25" customHeight="1" x14ac:dyDescent="0.25">
      <c r="A5" s="182"/>
      <c r="D5" s="161"/>
      <c r="G5" s="176"/>
      <c r="H5" s="177"/>
      <c r="I5" s="177"/>
      <c r="J5" s="177"/>
      <c r="K5" s="177"/>
      <c r="L5" s="177"/>
      <c r="M5" s="178"/>
    </row>
    <row r="6" spans="1:13" ht="31.5" customHeight="1" x14ac:dyDescent="0.25">
      <c r="A6" s="182"/>
      <c r="C6" s="157" t="s">
        <v>2</v>
      </c>
      <c r="D6" s="161"/>
      <c r="G6" s="176"/>
      <c r="H6" s="177"/>
      <c r="I6" s="177"/>
      <c r="J6" s="177"/>
      <c r="K6" s="177"/>
      <c r="L6" s="177"/>
      <c r="M6" s="178"/>
    </row>
    <row r="7" spans="1:13" ht="6" customHeight="1" x14ac:dyDescent="0.25">
      <c r="A7" s="182"/>
      <c r="C7" s="162"/>
      <c r="D7" s="161"/>
      <c r="G7" s="176"/>
      <c r="H7" s="177"/>
      <c r="I7" s="177"/>
      <c r="J7" s="177"/>
      <c r="K7" s="177"/>
      <c r="L7" s="177"/>
      <c r="M7" s="178"/>
    </row>
    <row r="8" spans="1:13" ht="31.5" customHeight="1" x14ac:dyDescent="0.25">
      <c r="A8" s="182"/>
      <c r="C8" s="157" t="s">
        <v>3</v>
      </c>
      <c r="D8" s="161"/>
      <c r="G8" s="176"/>
      <c r="H8" s="177"/>
      <c r="I8" s="177"/>
      <c r="J8" s="177"/>
      <c r="K8" s="177"/>
      <c r="L8" s="177"/>
      <c r="M8" s="178"/>
    </row>
    <row r="9" spans="1:13" ht="7.5" customHeight="1" x14ac:dyDescent="0.25">
      <c r="A9" s="182"/>
      <c r="D9" s="161"/>
      <c r="G9" s="176"/>
      <c r="H9" s="177"/>
      <c r="I9" s="177"/>
      <c r="J9" s="177"/>
      <c r="K9" s="177"/>
      <c r="L9" s="177"/>
      <c r="M9" s="178"/>
    </row>
    <row r="10" spans="1:13" ht="15.75" customHeight="1" x14ac:dyDescent="0.25">
      <c r="A10" s="182"/>
      <c r="C10" s="159" t="s">
        <v>4</v>
      </c>
      <c r="D10" s="160"/>
      <c r="E10" s="160"/>
      <c r="G10" s="176"/>
      <c r="H10" s="177"/>
      <c r="I10" s="177"/>
      <c r="J10" s="177"/>
      <c r="K10" s="177"/>
      <c r="L10" s="177"/>
      <c r="M10" s="178"/>
    </row>
    <row r="11" spans="1:13" ht="5.25" customHeight="1" x14ac:dyDescent="0.25">
      <c r="A11" s="182"/>
      <c r="D11" s="161"/>
      <c r="G11" s="176"/>
      <c r="H11" s="177"/>
      <c r="I11" s="177"/>
      <c r="J11" s="177"/>
      <c r="K11" s="177"/>
      <c r="L11" s="177"/>
      <c r="M11" s="178"/>
    </row>
    <row r="12" spans="1:13" ht="31.5" customHeight="1" x14ac:dyDescent="0.25">
      <c r="A12" s="182"/>
      <c r="C12" s="157" t="s">
        <v>5</v>
      </c>
      <c r="D12" s="161"/>
      <c r="G12" s="176"/>
      <c r="H12" s="177"/>
      <c r="I12" s="177"/>
      <c r="J12" s="177"/>
      <c r="K12" s="177"/>
      <c r="L12" s="177"/>
      <c r="M12" s="178"/>
    </row>
    <row r="13" spans="1:13" ht="5.25" customHeight="1" x14ac:dyDescent="0.25">
      <c r="A13" s="182"/>
      <c r="D13" s="161"/>
      <c r="G13" s="176"/>
      <c r="H13" s="177"/>
      <c r="I13" s="177"/>
      <c r="J13" s="177"/>
      <c r="K13" s="177"/>
      <c r="L13" s="177"/>
      <c r="M13" s="178"/>
    </row>
    <row r="14" spans="1:13" ht="31.5" customHeight="1" x14ac:dyDescent="0.25">
      <c r="A14" s="182"/>
      <c r="C14" s="157" t="s">
        <v>6</v>
      </c>
      <c r="D14" s="161"/>
      <c r="G14" s="176"/>
      <c r="H14" s="177"/>
      <c r="I14" s="177"/>
      <c r="J14" s="177"/>
      <c r="K14" s="177"/>
      <c r="L14" s="177"/>
      <c r="M14" s="178"/>
    </row>
    <row r="15" spans="1:13" ht="5.25" customHeight="1" x14ac:dyDescent="0.25">
      <c r="A15" s="182"/>
      <c r="D15" s="161"/>
      <c r="G15" s="176"/>
      <c r="H15" s="177"/>
      <c r="I15" s="177"/>
      <c r="J15" s="177"/>
      <c r="K15" s="177"/>
      <c r="L15" s="177"/>
      <c r="M15" s="178"/>
    </row>
    <row r="16" spans="1:13" ht="31.5" customHeight="1" x14ac:dyDescent="0.25">
      <c r="A16" s="182"/>
      <c r="C16" s="157" t="s">
        <v>7</v>
      </c>
      <c r="D16" s="161"/>
      <c r="G16" s="176"/>
      <c r="H16" s="177"/>
      <c r="I16" s="177"/>
      <c r="J16" s="177"/>
      <c r="K16" s="177"/>
      <c r="L16" s="177"/>
      <c r="M16" s="178"/>
    </row>
    <row r="17" spans="1:13" ht="5.25" customHeight="1" x14ac:dyDescent="0.25">
      <c r="A17" s="182"/>
      <c r="D17" s="161"/>
      <c r="G17" s="176"/>
      <c r="H17" s="177"/>
      <c r="I17" s="177"/>
      <c r="J17" s="177"/>
      <c r="K17" s="177"/>
      <c r="L17" s="177"/>
      <c r="M17" s="178"/>
    </row>
    <row r="18" spans="1:13" ht="31.5" customHeight="1" x14ac:dyDescent="0.25">
      <c r="A18" s="182"/>
      <c r="C18" s="157" t="s">
        <v>8</v>
      </c>
      <c r="D18" s="161"/>
      <c r="G18" s="176"/>
      <c r="H18" s="177"/>
      <c r="I18" s="177"/>
      <c r="J18" s="177"/>
      <c r="K18" s="177"/>
      <c r="L18" s="177"/>
      <c r="M18" s="178"/>
    </row>
    <row r="19" spans="1:13" ht="5.25" customHeight="1" x14ac:dyDescent="0.25">
      <c r="A19" s="182"/>
      <c r="D19" s="161"/>
      <c r="G19" s="176"/>
      <c r="H19" s="177"/>
      <c r="I19" s="177"/>
      <c r="J19" s="177"/>
      <c r="K19" s="177"/>
      <c r="L19" s="177"/>
      <c r="M19" s="178"/>
    </row>
    <row r="20" spans="1:13" ht="31.5" customHeight="1" x14ac:dyDescent="0.25">
      <c r="A20" s="182"/>
      <c r="C20" s="157" t="s">
        <v>9</v>
      </c>
      <c r="D20" s="161"/>
      <c r="E20" s="163"/>
      <c r="G20" s="176"/>
      <c r="H20" s="177"/>
      <c r="I20" s="177"/>
      <c r="J20" s="177"/>
      <c r="K20" s="177"/>
      <c r="L20" s="177"/>
      <c r="M20" s="178"/>
    </row>
    <row r="21" spans="1:13" ht="5.25" customHeight="1" x14ac:dyDescent="0.25">
      <c r="A21" s="182"/>
      <c r="D21" s="161"/>
      <c r="G21" s="176"/>
      <c r="H21" s="177"/>
      <c r="I21" s="177"/>
      <c r="J21" s="177"/>
      <c r="K21" s="177"/>
      <c r="L21" s="177"/>
      <c r="M21" s="178"/>
    </row>
    <row r="22" spans="1:13" ht="31.5" customHeight="1" x14ac:dyDescent="0.25">
      <c r="A22" s="182"/>
      <c r="C22" s="164" t="s">
        <v>10</v>
      </c>
      <c r="D22" s="161"/>
      <c r="E22" s="163"/>
      <c r="G22" s="176"/>
      <c r="H22" s="177"/>
      <c r="I22" s="177"/>
      <c r="J22" s="177"/>
      <c r="K22" s="177"/>
      <c r="L22" s="177"/>
      <c r="M22" s="178"/>
    </row>
    <row r="23" spans="1:13" ht="5.25" customHeight="1" x14ac:dyDescent="0.25">
      <c r="A23" s="182"/>
      <c r="D23" s="161"/>
      <c r="G23" s="176"/>
      <c r="H23" s="177"/>
      <c r="I23" s="177"/>
      <c r="J23" s="177"/>
      <c r="K23" s="177"/>
      <c r="L23" s="177"/>
      <c r="M23" s="178"/>
    </row>
    <row r="24" spans="1:13" ht="31.5" customHeight="1" x14ac:dyDescent="0.25">
      <c r="A24" s="182"/>
      <c r="C24" s="164" t="s">
        <v>468</v>
      </c>
      <c r="D24" s="161"/>
      <c r="E24" s="165" t="s">
        <v>12</v>
      </c>
      <c r="G24" s="176"/>
      <c r="H24" s="177"/>
      <c r="I24" s="177"/>
      <c r="J24" s="177"/>
      <c r="K24" s="177"/>
      <c r="L24" s="177"/>
      <c r="M24" s="178"/>
    </row>
    <row r="25" spans="1:13" ht="5.25" customHeight="1" x14ac:dyDescent="0.25">
      <c r="A25" s="182"/>
      <c r="D25" s="161"/>
      <c r="G25" s="176"/>
      <c r="H25" s="177"/>
      <c r="I25" s="177"/>
      <c r="J25" s="177"/>
      <c r="K25" s="177"/>
      <c r="L25" s="177"/>
      <c r="M25" s="178"/>
    </row>
    <row r="26" spans="1:13" ht="31.5" customHeight="1" x14ac:dyDescent="0.25">
      <c r="A26" s="182"/>
      <c r="C26" s="164" t="s">
        <v>13</v>
      </c>
      <c r="D26" s="161"/>
      <c r="E26" s="163"/>
      <c r="G26" s="176"/>
      <c r="H26" s="177"/>
      <c r="I26" s="177"/>
      <c r="J26" s="177"/>
      <c r="K26" s="177"/>
      <c r="L26" s="177"/>
      <c r="M26" s="178"/>
    </row>
    <row r="27" spans="1:13" ht="5.25" customHeight="1" x14ac:dyDescent="0.25">
      <c r="A27" s="182"/>
      <c r="G27" s="176"/>
      <c r="H27" s="177"/>
      <c r="I27" s="177"/>
      <c r="J27" s="177"/>
      <c r="K27" s="177"/>
      <c r="L27" s="177"/>
      <c r="M27" s="178"/>
    </row>
    <row r="28" spans="1:13" ht="31.5" customHeight="1" x14ac:dyDescent="0.25">
      <c r="A28" s="182"/>
      <c r="C28" s="157" t="s">
        <v>14</v>
      </c>
      <c r="G28" s="179"/>
      <c r="H28" s="180"/>
      <c r="I28" s="180"/>
      <c r="J28" s="180"/>
      <c r="K28" s="180"/>
      <c r="L28" s="180"/>
      <c r="M28" s="181"/>
    </row>
  </sheetData>
  <mergeCells count="2">
    <mergeCell ref="G2:M28"/>
    <mergeCell ref="A2:A28"/>
  </mergeCells>
  <hyperlinks>
    <hyperlink ref="C2" location="Synthèse!A1" display="Synthèse" xr:uid="{774F88F3-FFA5-4509-8032-21F8807BD8EA}"/>
    <hyperlink ref="C6" location="'Données générales'!A1" display="Données générales" xr:uid="{8FF5C441-8A57-4BE2-A164-F1031200CDB7}"/>
    <hyperlink ref="C8" location="'Données par OI'!A1" display="Données par OI" xr:uid="{7FC762C6-F80D-4730-B3E3-82C5D5C2A3F7}"/>
    <hyperlink ref="C12" location="'Maintenance préventive'!A1" display="Maintenance préventive" xr:uid="{2C1E4D3A-28EA-49C5-BB5D-748400F2135F}"/>
    <hyperlink ref="C14" location="'Maintenance curative'!A1" display="Maintenance curative" xr:uid="{F078F656-030E-4E29-ABA0-D62C240FD50F}"/>
    <hyperlink ref="C16" location="'GC Orange (iBLO)'!A1" display="GCBLO" xr:uid="{BD2B679C-59A2-4986-B426-128013813A6A}"/>
    <hyperlink ref="C18" location="'GC hors Orange'!A1" display="Génie civil en propre et tiers hors Orange" xr:uid="{5E99FF98-B2E0-4BBD-AD07-88E0D58393E7}"/>
    <hyperlink ref="C20" location="IFER!A1" display="IFER" xr:uid="{28A75AD2-5194-4938-A0F7-1748966FBA88}"/>
    <hyperlink ref="E24" location="'Autres briques'!A1" display="Autres briques" xr:uid="{F160A8DA-255A-43EE-852C-3355352075AB}"/>
    <hyperlink ref="C28" location="Extensions!A1" display="Extensions" xr:uid="{CE81A28C-4D5B-45F7-B720-1C14AB34E7B6}"/>
  </hyperlink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3:H17"/>
  <sheetViews>
    <sheetView zoomScaleNormal="100" workbookViewId="0"/>
  </sheetViews>
  <sheetFormatPr baseColWidth="10" defaultColWidth="8.5703125" defaultRowHeight="15" customHeight="1" x14ac:dyDescent="0.25"/>
  <cols>
    <col min="1" max="1" width="2.7109375" style="1" customWidth="1"/>
    <col min="2" max="2" width="8.5703125" style="1"/>
    <col min="3" max="3" width="2.7109375" style="1" customWidth="1"/>
    <col min="4" max="4" width="36.140625" style="1" customWidth="1"/>
    <col min="5" max="5" width="47.85546875" style="1" customWidth="1"/>
    <col min="6" max="6" width="20.28515625" style="1" customWidth="1"/>
    <col min="7" max="7" width="17.28515625" style="1" customWidth="1"/>
    <col min="8" max="8" width="11.42578125" style="1" customWidth="1"/>
    <col min="9" max="16384" width="8.5703125" style="1"/>
  </cols>
  <sheetData>
    <row r="3" spans="1:8" x14ac:dyDescent="0.25">
      <c r="B3" s="2" t="s">
        <v>15</v>
      </c>
      <c r="E3" s="2" t="s">
        <v>16</v>
      </c>
    </row>
    <row r="4" spans="1:8" x14ac:dyDescent="0.25">
      <c r="A4" s="3"/>
      <c r="B4" s="3"/>
      <c r="C4" s="3" t="s">
        <v>17</v>
      </c>
      <c r="D4" s="3"/>
      <c r="E4" s="3" t="str">
        <f>INDEX('Données par OI'!$C$2:$C$59,MATCH(Synthèse!E3,'Données par OI'!$B$2:$B$59,0))</f>
        <v>SN</v>
      </c>
    </row>
    <row r="6" spans="1:8" x14ac:dyDescent="0.25">
      <c r="B6" s="2" t="s">
        <v>18</v>
      </c>
    </row>
    <row r="7" spans="1:8" x14ac:dyDescent="0.25">
      <c r="C7" s="3" t="s">
        <v>19</v>
      </c>
      <c r="E7" s="4" t="s">
        <v>20</v>
      </c>
      <c r="F7" s="5" t="s">
        <v>21</v>
      </c>
      <c r="G7" s="5" t="s">
        <v>22</v>
      </c>
    </row>
    <row r="8" spans="1:8" x14ac:dyDescent="0.25">
      <c r="D8" s="1" t="s">
        <v>5</v>
      </c>
      <c r="E8" s="6">
        <f>'Maintenance préventive'!F19</f>
        <v>0</v>
      </c>
      <c r="F8" s="6">
        <f>INDEX('Données par OI'!$S$2:$S$58,MATCH(Synthèse!$E$4,'Données par OI'!$C$2:$C$58,0))*E8</f>
        <v>0</v>
      </c>
      <c r="G8" s="6">
        <f>E8-F8</f>
        <v>0</v>
      </c>
      <c r="H8" s="154"/>
    </row>
    <row r="9" spans="1:8" x14ac:dyDescent="0.25">
      <c r="D9" s="1" t="s">
        <v>6</v>
      </c>
      <c r="E9" s="6">
        <f>'Maintenance curative'!F39</f>
        <v>0</v>
      </c>
      <c r="F9" s="6">
        <f>INDEX('Données par OI'!$S$2:$S$58,MATCH(Synthèse!$E$4,'Données par OI'!$C$2:$C$58,0))*E9</f>
        <v>0</v>
      </c>
      <c r="G9" s="6">
        <f>E9-F9</f>
        <v>0</v>
      </c>
      <c r="H9" s="154"/>
    </row>
    <row r="10" spans="1:8" x14ac:dyDescent="0.25">
      <c r="D10" s="1" t="s">
        <v>10</v>
      </c>
      <c r="E10" s="6">
        <f>'Autres briques'!F23</f>
        <v>0</v>
      </c>
      <c r="F10" s="6">
        <f>INDEX('Données par OI'!$S$2:$S$58,MATCH(Synthèse!$E$4,'Données par OI'!$C$2:$C$58,0))*E10</f>
        <v>0</v>
      </c>
      <c r="G10" s="6">
        <f>E10-F10</f>
        <v>0</v>
      </c>
      <c r="H10" s="154"/>
    </row>
    <row r="11" spans="1:8" x14ac:dyDescent="0.25">
      <c r="D11" s="1" t="s">
        <v>23</v>
      </c>
      <c r="E11" s="6">
        <f>G11+F11</f>
        <v>0</v>
      </c>
      <c r="F11" s="6">
        <f>HLOOKUP('GC Orange (iBLO)'!$D$13,'GC Orange (iBLO)'!$E$53:$AC$57,5,FALSE())</f>
        <v>0</v>
      </c>
      <c r="G11" s="6">
        <f>HLOOKUP('GC Orange (iBLO)'!$D$13,'GC Orange (iBLO)'!$E$53:$AC$57,4,FALSE())</f>
        <v>0</v>
      </c>
      <c r="H11" s="154"/>
    </row>
    <row r="12" spans="1:8" x14ac:dyDescent="0.25">
      <c r="D12" s="1" t="s">
        <v>24</v>
      </c>
      <c r="E12" s="6">
        <f>'GC hors Orange'!F34</f>
        <v>0</v>
      </c>
      <c r="F12" s="6">
        <f>INDEX('Données par OI'!$S$2:$S$58,MATCH(Synthèse!$E$4,'Données par OI'!$C$2:$C$58,0))*E12</f>
        <v>0</v>
      </c>
      <c r="G12" s="6">
        <f>E12-F12</f>
        <v>0</v>
      </c>
      <c r="H12" s="154"/>
    </row>
    <row r="13" spans="1:8" x14ac:dyDescent="0.25">
      <c r="D13" s="1" t="s">
        <v>9</v>
      </c>
      <c r="E13" s="6">
        <f>IFER!A14</f>
        <v>0</v>
      </c>
      <c r="F13" s="6">
        <v>0</v>
      </c>
      <c r="G13" s="6">
        <f>E13-F13</f>
        <v>0</v>
      </c>
      <c r="H13" s="154"/>
    </row>
    <row r="14" spans="1:8" x14ac:dyDescent="0.25">
      <c r="D14" s="1" t="s">
        <v>11</v>
      </c>
      <c r="E14" s="6">
        <f>'Autres briques'!F38</f>
        <v>0</v>
      </c>
      <c r="F14" s="6">
        <f>INDEX('Données par OI'!$S$2:$S$58,MATCH(Synthèse!$E$4,'Données par OI'!$C$2:$C$58,0))*E14</f>
        <v>0</v>
      </c>
      <c r="G14" s="6">
        <f>E14-F14</f>
        <v>0</v>
      </c>
      <c r="H14" s="154"/>
    </row>
    <row r="15" spans="1:8" x14ac:dyDescent="0.25">
      <c r="D15" s="1" t="s">
        <v>25</v>
      </c>
      <c r="E15" s="6">
        <f>'Autres briques'!F45</f>
        <v>0</v>
      </c>
      <c r="F15" s="6">
        <f>INDEX('Données par OI'!$S$2:$S$58,MATCH(Synthèse!$E$4,'Données par OI'!$C$2:$C$58,0))*E15</f>
        <v>0</v>
      </c>
      <c r="G15" s="6">
        <f>E15-F15</f>
        <v>0</v>
      </c>
      <c r="H15" s="154"/>
    </row>
    <row r="16" spans="1:8" x14ac:dyDescent="0.25">
      <c r="D16" s="1" t="s">
        <v>14</v>
      </c>
      <c r="E16" s="6">
        <f>Extensions!F16</f>
        <v>738660.96506318497</v>
      </c>
      <c r="F16" s="6">
        <v>0</v>
      </c>
      <c r="G16" s="6">
        <f>E16-F16</f>
        <v>738660.96506318497</v>
      </c>
      <c r="H16" s="154"/>
    </row>
    <row r="17" spans="4:8" x14ac:dyDescent="0.25">
      <c r="D17" s="2" t="s">
        <v>26</v>
      </c>
      <c r="E17" s="7">
        <f>SUM(E8:E16)</f>
        <v>738660.96506318497</v>
      </c>
      <c r="F17" s="7">
        <f>SUM(F8:F16)</f>
        <v>0</v>
      </c>
      <c r="G17" s="7">
        <f>SUM(G8:G16)</f>
        <v>738660.96506318497</v>
      </c>
      <c r="H17" s="154"/>
    </row>
  </sheetData>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InputMessage="1" showErrorMessage="1" xr:uid="{B24632D4-8439-4713-832B-752E230CA272}">
          <x14:formula1>
            <xm:f>'Données par OI'!$B$2:$B$58</xm:f>
          </x14:formula1>
          <xm:sqref>E3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
  <sheetViews>
    <sheetView zoomScaleNormal="100" workbookViewId="0"/>
  </sheetViews>
  <sheetFormatPr baseColWidth="10" defaultColWidth="8.5703125" defaultRowHeight="15" customHeight="1" x14ac:dyDescent="0.25"/>
  <cols>
    <col min="1" max="1" width="11.42578125" style="1" customWidth="1"/>
    <col min="2" max="16384" width="8.5703125" style="1"/>
  </cols>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rgb="FFFFFFFF"/>
  </sheetPr>
  <dimension ref="B2:J88"/>
  <sheetViews>
    <sheetView tabSelected="1" zoomScaleNormal="100" workbookViewId="0"/>
  </sheetViews>
  <sheetFormatPr baseColWidth="10" defaultColWidth="8.5703125" defaultRowHeight="15" customHeight="1" x14ac:dyDescent="0.25"/>
  <cols>
    <col min="1" max="3" width="3.5703125" style="1" customWidth="1"/>
    <col min="4" max="4" width="44.7109375" style="1" customWidth="1"/>
    <col min="5" max="6" width="15.28515625" style="1" customWidth="1"/>
    <col min="7" max="7" width="17.85546875" style="1" customWidth="1"/>
    <col min="8" max="8" width="8.5703125" style="1"/>
    <col min="9" max="9" width="11.42578125" style="1" customWidth="1"/>
    <col min="10" max="16384" width="8.5703125" style="1"/>
  </cols>
  <sheetData>
    <row r="2" spans="2:7" x14ac:dyDescent="0.25">
      <c r="E2" s="8" t="s">
        <v>27</v>
      </c>
      <c r="F2" s="9" t="s">
        <v>28</v>
      </c>
      <c r="G2" s="9" t="s">
        <v>469</v>
      </c>
    </row>
    <row r="3" spans="2:7" x14ac:dyDescent="0.25">
      <c r="B3" s="2" t="s">
        <v>29</v>
      </c>
    </row>
    <row r="4" spans="2:7" x14ac:dyDescent="0.25">
      <c r="D4" s="1" t="s">
        <v>30</v>
      </c>
      <c r="E4" s="10" t="s">
        <v>31</v>
      </c>
      <c r="F4" s="11">
        <v>3000000</v>
      </c>
    </row>
    <row r="5" spans="2:7" x14ac:dyDescent="0.25"/>
    <row r="7" spans="2:7" x14ac:dyDescent="0.25">
      <c r="B7" s="2" t="s">
        <v>5</v>
      </c>
      <c r="D7" s="12"/>
      <c r="F7" s="13"/>
    </row>
    <row r="8" spans="2:7" x14ac:dyDescent="0.25">
      <c r="C8" s="14" t="s">
        <v>32</v>
      </c>
    </row>
    <row r="9" spans="2:7" x14ac:dyDescent="0.25">
      <c r="D9" s="15" t="s">
        <v>33</v>
      </c>
      <c r="E9" s="16" t="s">
        <v>34</v>
      </c>
      <c r="F9" s="6">
        <v>150</v>
      </c>
    </row>
    <row r="10" spans="2:7" x14ac:dyDescent="0.25">
      <c r="D10" s="15" t="s">
        <v>35</v>
      </c>
      <c r="E10" s="16" t="s">
        <v>36</v>
      </c>
      <c r="F10" s="17">
        <v>3</v>
      </c>
    </row>
    <row r="11" spans="2:7" x14ac:dyDescent="0.25">
      <c r="C11" s="14" t="s">
        <v>37</v>
      </c>
    </row>
    <row r="12" spans="2:7" x14ac:dyDescent="0.25">
      <c r="D12" s="15" t="s">
        <v>33</v>
      </c>
      <c r="E12" s="16" t="s">
        <v>34</v>
      </c>
      <c r="F12" s="6">
        <v>2500</v>
      </c>
    </row>
    <row r="13" spans="2:7" x14ac:dyDescent="0.25">
      <c r="D13" s="15" t="s">
        <v>38</v>
      </c>
      <c r="E13" s="16" t="s">
        <v>39</v>
      </c>
      <c r="F13" s="18">
        <v>0.15</v>
      </c>
    </row>
    <row r="14" spans="2:7" x14ac:dyDescent="0.25">
      <c r="C14" s="14" t="s">
        <v>40</v>
      </c>
      <c r="D14" s="15"/>
    </row>
    <row r="15" spans="2:7" x14ac:dyDescent="0.25">
      <c r="D15" s="15" t="s">
        <v>33</v>
      </c>
      <c r="E15" s="16" t="s">
        <v>34</v>
      </c>
      <c r="F15" s="6">
        <v>80</v>
      </c>
    </row>
    <row r="16" spans="2:7" x14ac:dyDescent="0.25">
      <c r="D16" s="15" t="s">
        <v>41</v>
      </c>
      <c r="E16" s="16" t="s">
        <v>39</v>
      </c>
      <c r="F16" s="18">
        <v>0.01</v>
      </c>
    </row>
    <row r="17" spans="2:10" x14ac:dyDescent="0.25">
      <c r="C17" s="14" t="s">
        <v>42</v>
      </c>
      <c r="D17" s="15"/>
    </row>
    <row r="18" spans="2:10" x14ac:dyDescent="0.25">
      <c r="D18" s="12" t="s">
        <v>43</v>
      </c>
      <c r="E18" s="10" t="s">
        <v>44</v>
      </c>
      <c r="F18" s="18">
        <v>0.2</v>
      </c>
    </row>
    <row r="19" spans="2:10" x14ac:dyDescent="0.25">
      <c r="D19" s="12"/>
      <c r="E19" s="10"/>
      <c r="F19" s="153"/>
    </row>
    <row r="20" spans="2:10" x14ac:dyDescent="0.25">
      <c r="D20" s="15"/>
    </row>
    <row r="21" spans="2:10" x14ac:dyDescent="0.25">
      <c r="B21" s="2" t="s">
        <v>6</v>
      </c>
    </row>
    <row r="22" spans="2:10" x14ac:dyDescent="0.25">
      <c r="C22" s="14" t="s">
        <v>45</v>
      </c>
    </row>
    <row r="23" spans="2:10" x14ac:dyDescent="0.25">
      <c r="D23" s="1" t="s">
        <v>46</v>
      </c>
      <c r="E23" s="10" t="s">
        <v>47</v>
      </c>
      <c r="F23" s="19">
        <v>79.250975025552606</v>
      </c>
    </row>
    <row r="24" spans="2:10" x14ac:dyDescent="0.25">
      <c r="D24" s="1" t="s">
        <v>48</v>
      </c>
      <c r="E24" s="10" t="s">
        <v>49</v>
      </c>
      <c r="F24" s="19">
        <v>30</v>
      </c>
    </row>
    <row r="25" spans="2:10" x14ac:dyDescent="0.25">
      <c r="D25" s="1" t="s">
        <v>462</v>
      </c>
      <c r="E25" s="10" t="s">
        <v>49</v>
      </c>
      <c r="F25" s="19">
        <v>32</v>
      </c>
    </row>
    <row r="26" spans="2:10" x14ac:dyDescent="0.25">
      <c r="C26" s="14" t="s">
        <v>50</v>
      </c>
    </row>
    <row r="27" spans="2:10" x14ac:dyDescent="0.25">
      <c r="D27" s="1" t="s">
        <v>51</v>
      </c>
      <c r="E27" s="10" t="s">
        <v>52</v>
      </c>
      <c r="F27" s="1">
        <v>2.5</v>
      </c>
    </row>
    <row r="28" spans="2:10" x14ac:dyDescent="0.25">
      <c r="D28" s="1" t="s">
        <v>53</v>
      </c>
      <c r="E28" s="10" t="s">
        <v>54</v>
      </c>
      <c r="F28" s="1">
        <v>1.75</v>
      </c>
    </row>
    <row r="29" spans="2:10" x14ac:dyDescent="0.25">
      <c r="D29" s="1" t="s">
        <v>461</v>
      </c>
      <c r="E29" s="10" t="s">
        <v>55</v>
      </c>
      <c r="F29" s="20">
        <v>0.2</v>
      </c>
    </row>
    <row r="30" spans="2:10" x14ac:dyDescent="0.25">
      <c r="C30" s="14" t="s">
        <v>56</v>
      </c>
      <c r="D30" s="21"/>
      <c r="F30" s="13"/>
      <c r="G30" s="152"/>
      <c r="H30" s="152"/>
      <c r="I30" s="152"/>
      <c r="J30" s="152"/>
    </row>
    <row r="31" spans="2:10" x14ac:dyDescent="0.25">
      <c r="D31" s="15" t="s">
        <v>57</v>
      </c>
      <c r="F31" s="1">
        <v>2.8000000000000001E-2</v>
      </c>
      <c r="I31" s="13"/>
    </row>
    <row r="32" spans="2:10" x14ac:dyDescent="0.25">
      <c r="D32" s="15" t="s">
        <v>58</v>
      </c>
      <c r="F32" s="1">
        <v>5.5E-2</v>
      </c>
      <c r="I32" s="13"/>
    </row>
    <row r="33" spans="2:9" x14ac:dyDescent="0.25">
      <c r="D33" s="15" t="s">
        <v>59</v>
      </c>
      <c r="F33" s="1">
        <v>1.1999999999999999E-3</v>
      </c>
      <c r="H33" s="146"/>
      <c r="I33" s="13"/>
    </row>
    <row r="34" spans="2:9" x14ac:dyDescent="0.25">
      <c r="D34" s="15" t="s">
        <v>60</v>
      </c>
      <c r="F34" s="1">
        <v>4.0000000000000002E-4</v>
      </c>
      <c r="H34" s="13"/>
      <c r="I34" s="13"/>
    </row>
    <row r="35" spans="2:9" x14ac:dyDescent="0.25">
      <c r="C35" s="14" t="s">
        <v>42</v>
      </c>
      <c r="D35" s="12"/>
      <c r="F35" s="13"/>
    </row>
    <row r="36" spans="2:9" x14ac:dyDescent="0.25">
      <c r="D36" s="12" t="s">
        <v>61</v>
      </c>
      <c r="E36" s="10" t="s">
        <v>62</v>
      </c>
      <c r="F36" s="6">
        <v>2000000</v>
      </c>
    </row>
    <row r="37" spans="2:9" x14ac:dyDescent="0.25">
      <c r="D37" s="12" t="s">
        <v>43</v>
      </c>
      <c r="E37" s="10" t="s">
        <v>44</v>
      </c>
      <c r="F37" s="18">
        <v>0.2</v>
      </c>
    </row>
    <row r="38" spans="2:9" x14ac:dyDescent="0.25">
      <c r="D38" s="12"/>
      <c r="F38" s="13"/>
    </row>
    <row r="39" spans="2:9" x14ac:dyDescent="0.25">
      <c r="D39" s="15"/>
    </row>
    <row r="40" spans="2:9" x14ac:dyDescent="0.25">
      <c r="B40" s="2" t="s">
        <v>63</v>
      </c>
      <c r="D40" s="15"/>
      <c r="E40" s="16"/>
    </row>
    <row r="41" spans="2:9" x14ac:dyDescent="0.25">
      <c r="C41" s="14" t="s">
        <v>64</v>
      </c>
      <c r="D41" s="15"/>
      <c r="E41" s="16"/>
    </row>
    <row r="42" spans="2:9" x14ac:dyDescent="0.25">
      <c r="D42" s="15" t="s">
        <v>65</v>
      </c>
      <c r="E42" s="16" t="s">
        <v>66</v>
      </c>
      <c r="F42" s="19">
        <v>9.7799999999999994</v>
      </c>
      <c r="G42" s="191" t="s">
        <v>471</v>
      </c>
    </row>
    <row r="43" spans="2:9" x14ac:dyDescent="0.25">
      <c r="C43" s="14" t="s">
        <v>67</v>
      </c>
      <c r="D43" s="15"/>
      <c r="E43" s="16"/>
    </row>
    <row r="44" spans="2:9" x14ac:dyDescent="0.25">
      <c r="D44" s="15" t="s">
        <v>68</v>
      </c>
      <c r="E44" s="16" t="s">
        <v>69</v>
      </c>
      <c r="F44" s="19">
        <v>0.15</v>
      </c>
    </row>
    <row r="45" spans="2:9" x14ac:dyDescent="0.25">
      <c r="D45" s="15" t="s">
        <v>70</v>
      </c>
      <c r="E45" s="10" t="s">
        <v>71</v>
      </c>
      <c r="F45" s="6">
        <v>10</v>
      </c>
    </row>
    <row r="46" spans="2:9" x14ac:dyDescent="0.25">
      <c r="C46" s="14" t="s">
        <v>72</v>
      </c>
    </row>
    <row r="47" spans="2:9" x14ac:dyDescent="0.25">
      <c r="D47" s="1" t="s">
        <v>73</v>
      </c>
      <c r="E47" s="16" t="s">
        <v>69</v>
      </c>
      <c r="F47" s="19"/>
      <c r="G47" s="191" t="s">
        <v>470</v>
      </c>
    </row>
    <row r="48" spans="2:9" x14ac:dyDescent="0.25">
      <c r="C48" s="14" t="s">
        <v>42</v>
      </c>
    </row>
    <row r="49" spans="2:6" x14ac:dyDescent="0.25">
      <c r="D49" s="1" t="s">
        <v>74</v>
      </c>
      <c r="E49" s="10" t="s">
        <v>44</v>
      </c>
      <c r="F49" s="18">
        <v>0.05</v>
      </c>
    </row>
    <row r="52" spans="2:6" x14ac:dyDescent="0.25">
      <c r="B52" s="2" t="s">
        <v>10</v>
      </c>
    </row>
    <row r="53" spans="2:6" x14ac:dyDescent="0.25">
      <c r="C53" s="14" t="s">
        <v>75</v>
      </c>
    </row>
    <row r="54" spans="2:6" x14ac:dyDescent="0.25">
      <c r="D54" s="1" t="s">
        <v>76</v>
      </c>
      <c r="E54" s="10" t="s">
        <v>31</v>
      </c>
      <c r="F54" s="1">
        <v>22</v>
      </c>
    </row>
    <row r="55" spans="2:6" x14ac:dyDescent="0.25">
      <c r="D55" s="1" t="s">
        <v>77</v>
      </c>
      <c r="E55" s="10" t="s">
        <v>62</v>
      </c>
      <c r="F55" s="6">
        <v>160000</v>
      </c>
    </row>
    <row r="56" spans="2:6" x14ac:dyDescent="0.25">
      <c r="C56" s="14" t="s">
        <v>78</v>
      </c>
    </row>
    <row r="57" spans="2:6" x14ac:dyDescent="0.25">
      <c r="D57" s="1" t="s">
        <v>79</v>
      </c>
      <c r="E57" s="10" t="s">
        <v>62</v>
      </c>
      <c r="F57" s="6">
        <v>2000000</v>
      </c>
    </row>
    <row r="58" spans="2:6" x14ac:dyDescent="0.25">
      <c r="C58" s="14" t="s">
        <v>80</v>
      </c>
    </row>
    <row r="59" spans="2:6" x14ac:dyDescent="0.25">
      <c r="D59" s="1" t="s">
        <v>81</v>
      </c>
      <c r="E59" s="10" t="s">
        <v>62</v>
      </c>
      <c r="F59" s="6">
        <v>500000</v>
      </c>
    </row>
    <row r="60" spans="2:6" x14ac:dyDescent="0.25">
      <c r="C60" s="14" t="s">
        <v>42</v>
      </c>
    </row>
    <row r="61" spans="2:6" x14ac:dyDescent="0.25">
      <c r="D61" s="1" t="s">
        <v>74</v>
      </c>
      <c r="E61" s="10" t="s">
        <v>44</v>
      </c>
      <c r="F61" s="18">
        <v>0.05</v>
      </c>
    </row>
    <row r="64" spans="2:6" x14ac:dyDescent="0.25">
      <c r="B64" s="2" t="s">
        <v>468</v>
      </c>
    </row>
    <row r="65" spans="2:7" x14ac:dyDescent="0.25">
      <c r="C65" s="14" t="s">
        <v>82</v>
      </c>
    </row>
    <row r="66" spans="2:7" x14ac:dyDescent="0.25">
      <c r="D66" s="1" t="s">
        <v>83</v>
      </c>
      <c r="E66" s="10" t="s">
        <v>44</v>
      </c>
      <c r="F66" s="22">
        <v>1.4999999999999999E-2</v>
      </c>
    </row>
    <row r="67" spans="2:7" x14ac:dyDescent="0.25">
      <c r="C67" s="14" t="s">
        <v>84</v>
      </c>
      <c r="F67" s="22"/>
    </row>
    <row r="68" spans="2:7" x14ac:dyDescent="0.25">
      <c r="D68" s="1" t="s">
        <v>85</v>
      </c>
      <c r="E68" s="10" t="s">
        <v>86</v>
      </c>
      <c r="F68" s="19">
        <v>65.489999999999995</v>
      </c>
      <c r="G68" s="19"/>
    </row>
    <row r="69" spans="2:7" x14ac:dyDescent="0.25">
      <c r="D69" s="1" t="s">
        <v>87</v>
      </c>
      <c r="E69" s="10" t="s">
        <v>86</v>
      </c>
      <c r="F69" s="19">
        <v>49.11</v>
      </c>
      <c r="G69" s="19"/>
    </row>
    <row r="70" spans="2:7" x14ac:dyDescent="0.25">
      <c r="D70" s="1" t="s">
        <v>88</v>
      </c>
      <c r="E70" s="10" t="s">
        <v>89</v>
      </c>
      <c r="F70" s="19">
        <v>32.74</v>
      </c>
    </row>
    <row r="71" spans="2:7" x14ac:dyDescent="0.25">
      <c r="D71" s="1" t="s">
        <v>90</v>
      </c>
      <c r="E71" s="10" t="s">
        <v>91</v>
      </c>
      <c r="F71" s="23">
        <v>2</v>
      </c>
    </row>
    <row r="72" spans="2:7" x14ac:dyDescent="0.25">
      <c r="C72" s="14" t="s">
        <v>42</v>
      </c>
    </row>
    <row r="73" spans="2:7" x14ac:dyDescent="0.25">
      <c r="D73" s="1" t="s">
        <v>74</v>
      </c>
      <c r="E73" s="10" t="s">
        <v>44</v>
      </c>
      <c r="F73" s="18">
        <v>0.05</v>
      </c>
    </row>
    <row r="76" spans="2:7" x14ac:dyDescent="0.25">
      <c r="B76" s="2" t="s">
        <v>14</v>
      </c>
    </row>
    <row r="77" spans="2:7" x14ac:dyDescent="0.25">
      <c r="C77" s="14" t="s">
        <v>92</v>
      </c>
    </row>
    <row r="78" spans="2:7" x14ac:dyDescent="0.25">
      <c r="D78" s="1" t="s">
        <v>93</v>
      </c>
      <c r="E78" s="10" t="s">
        <v>94</v>
      </c>
      <c r="F78" s="6">
        <v>200</v>
      </c>
    </row>
    <row r="79" spans="2:7" x14ac:dyDescent="0.25">
      <c r="C79" s="14" t="s">
        <v>95</v>
      </c>
    </row>
    <row r="80" spans="2:7" x14ac:dyDescent="0.25">
      <c r="D80" s="1" t="s">
        <v>96</v>
      </c>
      <c r="E80" s="10" t="s">
        <v>55</v>
      </c>
      <c r="F80" s="20">
        <v>0.1</v>
      </c>
    </row>
    <row r="81" spans="2:6" x14ac:dyDescent="0.25">
      <c r="D81" s="1" t="s">
        <v>97</v>
      </c>
      <c r="E81" s="10" t="s">
        <v>98</v>
      </c>
      <c r="F81" s="6">
        <v>2500</v>
      </c>
    </row>
    <row r="82" spans="2:6" x14ac:dyDescent="0.25">
      <c r="C82" s="14" t="s">
        <v>99</v>
      </c>
    </row>
    <row r="83" spans="2:6" x14ac:dyDescent="0.25">
      <c r="D83" s="1" t="s">
        <v>100</v>
      </c>
      <c r="E83" s="10" t="s">
        <v>94</v>
      </c>
      <c r="F83" s="6">
        <v>60</v>
      </c>
    </row>
    <row r="86" spans="2:6" x14ac:dyDescent="0.25">
      <c r="B86" s="2" t="s">
        <v>101</v>
      </c>
    </row>
    <row r="87" spans="2:6" x14ac:dyDescent="0.25">
      <c r="C87" s="14" t="s">
        <v>101</v>
      </c>
    </row>
    <row r="88" spans="2:6" x14ac:dyDescent="0.25">
      <c r="D88" s="1" t="s">
        <v>467</v>
      </c>
      <c r="E88" s="10" t="s">
        <v>44</v>
      </c>
      <c r="F88" s="22">
        <v>0.08</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tabColor rgb="FFFFFFFF"/>
  </sheetPr>
  <dimension ref="B1:Y59"/>
  <sheetViews>
    <sheetView zoomScaleNormal="100"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8.5703125" defaultRowHeight="15" customHeight="1" x14ac:dyDescent="0.25"/>
  <cols>
    <col min="1" max="1" width="8.5703125" style="1"/>
    <col min="2" max="2" width="52.42578125" style="1" customWidth="1"/>
    <col min="3" max="3" width="8" style="1" customWidth="1"/>
    <col min="4" max="4" width="11.42578125" style="1" customWidth="1"/>
    <col min="5" max="5" width="8.5703125" style="1"/>
    <col min="6" max="6" width="11.42578125" style="1" customWidth="1"/>
    <col min="7" max="7" width="10.5703125" style="1" bestFit="1" customWidth="1"/>
    <col min="8" max="8" width="11.42578125" style="1" customWidth="1"/>
    <col min="9" max="9" width="13.28515625" style="1" customWidth="1"/>
    <col min="10" max="10" width="10.140625" style="1" customWidth="1"/>
    <col min="11" max="12" width="12.42578125" style="1" customWidth="1"/>
    <col min="13" max="14" width="8.5703125" style="1"/>
    <col min="15" max="15" width="11.42578125" style="1" customWidth="1"/>
    <col min="16" max="16" width="8.5703125" style="1"/>
    <col min="17" max="17" width="13" style="1" customWidth="1"/>
    <col min="18" max="18" width="11.42578125" style="1" customWidth="1"/>
    <col min="19" max="19" width="17.140625" style="1" customWidth="1"/>
    <col min="20" max="20" width="11.42578125" style="1" customWidth="1"/>
    <col min="21" max="24" width="8.5703125" style="1"/>
    <col min="25" max="25" width="13.28515625" style="1" customWidth="1"/>
    <col min="26" max="26" width="11.42578125" style="1" customWidth="1"/>
    <col min="27" max="16384" width="8.5703125" style="1"/>
  </cols>
  <sheetData>
    <row r="1" spans="2:25" ht="60" customHeight="1" x14ac:dyDescent="0.25">
      <c r="B1" s="24" t="s">
        <v>102</v>
      </c>
      <c r="C1" s="25" t="s">
        <v>17</v>
      </c>
      <c r="D1" s="24" t="s">
        <v>103</v>
      </c>
      <c r="E1" s="24" t="s">
        <v>104</v>
      </c>
      <c r="F1" s="24" t="s">
        <v>105</v>
      </c>
      <c r="G1" s="24" t="s">
        <v>106</v>
      </c>
      <c r="H1" s="26" t="s">
        <v>107</v>
      </c>
      <c r="I1" s="24" t="s">
        <v>108</v>
      </c>
      <c r="J1" s="24" t="s">
        <v>109</v>
      </c>
      <c r="K1" s="24" t="s">
        <v>110</v>
      </c>
      <c r="L1" s="24" t="s">
        <v>111</v>
      </c>
      <c r="M1" s="24" t="s">
        <v>112</v>
      </c>
      <c r="N1" s="24" t="s">
        <v>113</v>
      </c>
      <c r="O1" s="24" t="s">
        <v>114</v>
      </c>
      <c r="P1" s="24" t="s">
        <v>115</v>
      </c>
      <c r="Q1" s="24" t="s">
        <v>116</v>
      </c>
      <c r="R1" s="24" t="s">
        <v>117</v>
      </c>
      <c r="S1" s="26" t="s">
        <v>118</v>
      </c>
      <c r="T1" s="26" t="s">
        <v>119</v>
      </c>
      <c r="U1" s="26" t="s">
        <v>120</v>
      </c>
      <c r="V1" s="26" t="s">
        <v>121</v>
      </c>
      <c r="W1" s="26" t="s">
        <v>122</v>
      </c>
      <c r="X1" s="26" t="s">
        <v>123</v>
      </c>
      <c r="Y1" s="26" t="s">
        <v>124</v>
      </c>
    </row>
    <row r="2" spans="2:25" x14ac:dyDescent="0.25">
      <c r="B2" s="1" t="s">
        <v>16</v>
      </c>
      <c r="C2" s="27" t="s">
        <v>125</v>
      </c>
      <c r="D2" s="1" t="s">
        <v>126</v>
      </c>
      <c r="E2" s="1" t="s">
        <v>127</v>
      </c>
      <c r="F2" s="28"/>
      <c r="G2" s="28"/>
      <c r="H2" s="28"/>
      <c r="I2" s="28"/>
      <c r="J2" s="28"/>
      <c r="K2" s="28"/>
      <c r="L2" s="23">
        <v>0.43210954190476097</v>
      </c>
      <c r="M2" s="28">
        <v>46.305</v>
      </c>
      <c r="N2" s="28">
        <v>1.4850000000000001</v>
      </c>
      <c r="O2" s="28">
        <v>1810.72895299829</v>
      </c>
      <c r="P2" s="28">
        <v>998.36410649644802</v>
      </c>
      <c r="Q2" s="28">
        <v>53.6653820833493</v>
      </c>
      <c r="R2" s="28">
        <v>19.456260554721201</v>
      </c>
      <c r="S2" s="166"/>
      <c r="T2" s="28"/>
      <c r="U2" s="28"/>
      <c r="V2" s="28"/>
      <c r="W2" s="28"/>
      <c r="X2" s="28"/>
      <c r="Y2" s="166"/>
    </row>
    <row r="3" spans="2:25" x14ac:dyDescent="0.25">
      <c r="B3" s="1" t="s">
        <v>128</v>
      </c>
      <c r="C3" s="27" t="s">
        <v>129</v>
      </c>
      <c r="D3" s="1" t="s">
        <v>130</v>
      </c>
      <c r="E3" s="1" t="s">
        <v>131</v>
      </c>
      <c r="F3" s="28"/>
      <c r="G3" s="28"/>
      <c r="H3" s="28"/>
      <c r="I3" s="28"/>
      <c r="J3" s="28"/>
      <c r="K3" s="28"/>
      <c r="L3" s="23">
        <v>0.68508324495412798</v>
      </c>
      <c r="M3" s="28">
        <v>61.89</v>
      </c>
      <c r="N3" s="28">
        <v>13.03</v>
      </c>
      <c r="O3" s="28">
        <v>3160.1386423649001</v>
      </c>
      <c r="P3" s="28">
        <v>1091.71326557668</v>
      </c>
      <c r="Q3" s="28">
        <v>53.705016502846199</v>
      </c>
      <c r="R3" s="28">
        <v>87.643494885408501</v>
      </c>
      <c r="S3" s="166"/>
      <c r="T3" s="28"/>
      <c r="U3" s="28"/>
      <c r="V3" s="28"/>
      <c r="W3" s="28"/>
      <c r="X3" s="28"/>
      <c r="Y3" s="166"/>
    </row>
    <row r="4" spans="2:25" x14ac:dyDescent="0.25">
      <c r="B4" s="1" t="s">
        <v>132</v>
      </c>
      <c r="C4" s="27" t="s">
        <v>133</v>
      </c>
      <c r="D4" s="1" t="s">
        <v>134</v>
      </c>
      <c r="E4" s="1" t="s">
        <v>134</v>
      </c>
      <c r="F4" s="28"/>
      <c r="G4" s="28"/>
      <c r="H4" s="28"/>
      <c r="I4" s="28"/>
      <c r="J4" s="28"/>
      <c r="K4" s="28"/>
      <c r="L4" s="23">
        <v>0.28902555313043399</v>
      </c>
      <c r="M4" s="28">
        <v>14.66</v>
      </c>
      <c r="N4" s="28">
        <v>6.65</v>
      </c>
      <c r="O4" s="28">
        <v>1315.54515687204</v>
      </c>
      <c r="P4" s="28">
        <v>442.200929545637</v>
      </c>
      <c r="Q4" s="28">
        <v>26.402208843997201</v>
      </c>
      <c r="R4" s="28">
        <v>28.885610613386401</v>
      </c>
      <c r="S4" s="166"/>
      <c r="T4" s="28"/>
      <c r="U4" s="28"/>
      <c r="V4" s="28"/>
      <c r="W4" s="28"/>
      <c r="X4" s="28"/>
      <c r="Y4" s="166"/>
    </row>
    <row r="5" spans="2:25" x14ac:dyDescent="0.25">
      <c r="B5" s="1" t="s">
        <v>135</v>
      </c>
      <c r="C5" s="27" t="s">
        <v>136</v>
      </c>
      <c r="D5" s="1" t="s">
        <v>137</v>
      </c>
      <c r="E5" s="1" t="s">
        <v>137</v>
      </c>
      <c r="F5" s="28"/>
      <c r="G5" s="28"/>
      <c r="H5" s="28"/>
      <c r="I5" s="28"/>
      <c r="J5" s="28"/>
      <c r="K5" s="28"/>
      <c r="L5" s="23">
        <v>0.40935056517647</v>
      </c>
      <c r="M5" s="28">
        <v>26.805</v>
      </c>
      <c r="N5" s="28">
        <v>1.66</v>
      </c>
      <c r="O5" s="28">
        <v>595.93562412821495</v>
      </c>
      <c r="P5" s="28">
        <v>312.51756960744802</v>
      </c>
      <c r="Q5" s="28">
        <v>13.5401853355218</v>
      </c>
      <c r="R5" s="28">
        <v>11.1858300329898</v>
      </c>
      <c r="S5" s="166"/>
      <c r="T5" s="28"/>
      <c r="U5" s="28"/>
      <c r="V5" s="28"/>
      <c r="W5" s="28"/>
      <c r="X5" s="28"/>
      <c r="Y5" s="166"/>
    </row>
    <row r="6" spans="2:25" x14ac:dyDescent="0.25">
      <c r="B6" s="1" t="s">
        <v>138</v>
      </c>
      <c r="C6" s="27" t="s">
        <v>139</v>
      </c>
      <c r="D6" s="1" t="s">
        <v>140</v>
      </c>
      <c r="E6" s="1" t="s">
        <v>141</v>
      </c>
      <c r="F6" s="28"/>
      <c r="G6" s="28"/>
      <c r="H6" s="28"/>
      <c r="I6" s="28"/>
      <c r="J6" s="28"/>
      <c r="K6" s="28"/>
      <c r="L6" s="23">
        <v>0.41987274085714199</v>
      </c>
      <c r="M6" s="28">
        <v>63.89</v>
      </c>
      <c r="N6" s="28">
        <v>8.33</v>
      </c>
      <c r="O6" s="28">
        <v>2901.2546023131399</v>
      </c>
      <c r="P6" s="28">
        <v>1083.09090940226</v>
      </c>
      <c r="Q6" s="28">
        <v>84.215576863959001</v>
      </c>
      <c r="R6" s="28">
        <v>51.6845675562761</v>
      </c>
      <c r="S6" s="166"/>
      <c r="T6" s="28"/>
      <c r="U6" s="28"/>
      <c r="V6" s="28"/>
      <c r="W6" s="28"/>
      <c r="X6" s="28"/>
      <c r="Y6" s="166"/>
    </row>
    <row r="7" spans="2:25" x14ac:dyDescent="0.25">
      <c r="B7" s="1" t="s">
        <v>142</v>
      </c>
      <c r="C7" s="27" t="s">
        <v>143</v>
      </c>
      <c r="D7" s="1" t="s">
        <v>144</v>
      </c>
      <c r="E7" s="1" t="s">
        <v>144</v>
      </c>
      <c r="F7" s="28"/>
      <c r="G7" s="28"/>
      <c r="H7" s="28"/>
      <c r="I7" s="28"/>
      <c r="J7" s="28"/>
      <c r="K7" s="28"/>
      <c r="L7" s="23">
        <v>0.40270528787010401</v>
      </c>
      <c r="M7" s="28">
        <v>28.62</v>
      </c>
      <c r="N7" s="28">
        <v>242.68</v>
      </c>
      <c r="O7" s="28">
        <v>4261.2694811667297</v>
      </c>
      <c r="P7" s="28">
        <v>1719.9190044837301</v>
      </c>
      <c r="Q7" s="28">
        <v>111.353549708421</v>
      </c>
      <c r="R7" s="28">
        <v>96.557803518502098</v>
      </c>
      <c r="S7" s="166"/>
      <c r="T7" s="28"/>
      <c r="U7" s="28"/>
      <c r="V7" s="28"/>
      <c r="W7" s="28"/>
      <c r="X7" s="28"/>
      <c r="Y7" s="166"/>
    </row>
    <row r="8" spans="2:25" x14ac:dyDescent="0.25">
      <c r="B8" s="1" t="s">
        <v>145</v>
      </c>
      <c r="C8" s="27" t="s">
        <v>146</v>
      </c>
      <c r="D8" s="1" t="s">
        <v>147</v>
      </c>
      <c r="E8" s="1" t="s">
        <v>147</v>
      </c>
      <c r="F8" s="28"/>
      <c r="G8" s="28"/>
      <c r="H8" s="28"/>
      <c r="I8" s="28"/>
      <c r="J8" s="28"/>
      <c r="K8" s="28"/>
      <c r="L8" s="23">
        <v>0.46292868581818097</v>
      </c>
      <c r="M8" s="28">
        <v>20.68</v>
      </c>
      <c r="N8" s="28">
        <v>2.31</v>
      </c>
      <c r="O8" s="28">
        <v>729.13803622029695</v>
      </c>
      <c r="P8" s="28">
        <v>455.56645127118998</v>
      </c>
      <c r="Q8" s="28">
        <v>24.656732414750799</v>
      </c>
      <c r="R8" s="28">
        <v>6.8141688407121501</v>
      </c>
      <c r="S8" s="166"/>
      <c r="T8" s="28"/>
      <c r="U8" s="28"/>
      <c r="V8" s="28"/>
      <c r="W8" s="28"/>
      <c r="X8" s="28"/>
      <c r="Y8" s="166"/>
    </row>
    <row r="9" spans="2:25" x14ac:dyDescent="0.25">
      <c r="B9" s="1" t="s">
        <v>148</v>
      </c>
      <c r="C9" s="27" t="s">
        <v>149</v>
      </c>
      <c r="D9" s="1" t="s">
        <v>150</v>
      </c>
      <c r="E9" s="1" t="s">
        <v>150</v>
      </c>
      <c r="F9" s="28"/>
      <c r="G9" s="28"/>
      <c r="H9" s="28"/>
      <c r="I9" s="28"/>
      <c r="J9" s="28"/>
      <c r="K9" s="28"/>
      <c r="L9" s="23">
        <v>0.40917652587499898</v>
      </c>
      <c r="M9" s="28">
        <v>20.68</v>
      </c>
      <c r="N9" s="28">
        <v>2.31</v>
      </c>
      <c r="O9" s="28">
        <v>623.85761724021404</v>
      </c>
      <c r="P9" s="28">
        <v>321.99799692073702</v>
      </c>
      <c r="Q9" s="28">
        <v>19.829127871955802</v>
      </c>
      <c r="R9" s="28">
        <v>6.92678069226326</v>
      </c>
      <c r="S9" s="166"/>
      <c r="T9" s="28"/>
      <c r="U9" s="28"/>
      <c r="V9" s="28"/>
      <c r="W9" s="28"/>
      <c r="X9" s="28"/>
      <c r="Y9" s="166"/>
    </row>
    <row r="10" spans="2:25" x14ac:dyDescent="0.25">
      <c r="B10" s="1" t="s">
        <v>151</v>
      </c>
      <c r="C10" s="27" t="s">
        <v>152</v>
      </c>
      <c r="D10" s="1" t="s">
        <v>153</v>
      </c>
      <c r="E10" s="1" t="s">
        <v>153</v>
      </c>
      <c r="F10" s="28"/>
      <c r="G10" s="28"/>
      <c r="H10" s="28"/>
      <c r="I10" s="28"/>
      <c r="J10" s="28"/>
      <c r="K10" s="28"/>
      <c r="L10" s="23">
        <v>0.32874391944444398</v>
      </c>
      <c r="M10" s="28">
        <v>28.83</v>
      </c>
      <c r="N10" s="28">
        <v>5.2</v>
      </c>
      <c r="O10" s="28">
        <v>2114.3830287733799</v>
      </c>
      <c r="P10" s="28">
        <v>1036.30615199662</v>
      </c>
      <c r="Q10" s="28">
        <v>42.864244729787202</v>
      </c>
      <c r="R10" s="28">
        <v>38.941411214117203</v>
      </c>
      <c r="S10" s="166"/>
      <c r="T10" s="28"/>
      <c r="U10" s="28"/>
      <c r="V10" s="28"/>
      <c r="W10" s="28"/>
      <c r="X10" s="28"/>
      <c r="Y10" s="166"/>
    </row>
    <row r="11" spans="2:25" x14ac:dyDescent="0.25">
      <c r="B11" s="1" t="s">
        <v>154</v>
      </c>
      <c r="C11" s="27" t="s">
        <v>155</v>
      </c>
      <c r="D11" s="1" t="s">
        <v>156</v>
      </c>
      <c r="E11" s="1" t="s">
        <v>156</v>
      </c>
      <c r="F11" s="28"/>
      <c r="G11" s="28"/>
      <c r="H11" s="28"/>
      <c r="I11" s="28"/>
      <c r="J11" s="28"/>
      <c r="K11" s="28"/>
      <c r="L11" s="23">
        <v>0.31537118024286098</v>
      </c>
      <c r="M11" s="28">
        <v>22.73</v>
      </c>
      <c r="N11" s="28">
        <v>4.9400000000000004</v>
      </c>
      <c r="O11" s="28">
        <v>3421.38321343805</v>
      </c>
      <c r="P11" s="28">
        <v>1140.0690642961099</v>
      </c>
      <c r="Q11" s="28">
        <v>57.219799261557199</v>
      </c>
      <c r="R11" s="28">
        <v>68.172195852874495</v>
      </c>
      <c r="S11" s="166"/>
      <c r="T11" s="28"/>
      <c r="U11" s="28"/>
      <c r="V11" s="28"/>
      <c r="W11" s="28"/>
      <c r="X11" s="28"/>
      <c r="Y11" s="166"/>
    </row>
    <row r="12" spans="2:25" x14ac:dyDescent="0.25">
      <c r="B12" s="1" t="s">
        <v>157</v>
      </c>
      <c r="C12" s="27" t="s">
        <v>158</v>
      </c>
      <c r="D12" s="1" t="s">
        <v>159</v>
      </c>
      <c r="E12" s="1" t="s">
        <v>159</v>
      </c>
      <c r="F12" s="28"/>
      <c r="G12" s="28"/>
      <c r="H12" s="28"/>
      <c r="I12" s="28"/>
      <c r="J12" s="28"/>
      <c r="K12" s="28"/>
      <c r="L12" s="23">
        <v>0.47219955651851803</v>
      </c>
      <c r="M12" s="28">
        <v>42.68</v>
      </c>
      <c r="N12" s="28">
        <v>20.47</v>
      </c>
      <c r="O12" s="28">
        <v>1282.3760542841301</v>
      </c>
      <c r="P12" s="28">
        <v>745.41297483766698</v>
      </c>
      <c r="Q12" s="28">
        <v>44.902257769983301</v>
      </c>
      <c r="R12" s="28">
        <v>14.521112088449099</v>
      </c>
      <c r="S12" s="166"/>
      <c r="T12" s="28"/>
      <c r="U12" s="28"/>
      <c r="V12" s="28"/>
      <c r="W12" s="28"/>
      <c r="X12" s="28"/>
      <c r="Y12" s="166"/>
    </row>
    <row r="13" spans="2:25" x14ac:dyDescent="0.25">
      <c r="B13" s="1" t="s">
        <v>160</v>
      </c>
      <c r="C13" s="27" t="s">
        <v>161</v>
      </c>
      <c r="D13" s="1" t="s">
        <v>162</v>
      </c>
      <c r="E13" s="1" t="s">
        <v>162</v>
      </c>
      <c r="F13" s="28"/>
      <c r="G13" s="28"/>
      <c r="H13" s="28"/>
      <c r="I13" s="28"/>
      <c r="J13" s="28"/>
      <c r="K13" s="28"/>
      <c r="L13" s="23">
        <v>0.46166397052173902</v>
      </c>
      <c r="M13" s="28">
        <v>51.29</v>
      </c>
      <c r="N13" s="28">
        <v>147.25</v>
      </c>
      <c r="O13" s="28">
        <v>2614.27136353278</v>
      </c>
      <c r="P13" s="28">
        <v>1267.55457642433</v>
      </c>
      <c r="Q13" s="28">
        <v>61.660367847785899</v>
      </c>
      <c r="R13" s="28">
        <v>55.2507356592698</v>
      </c>
      <c r="S13" s="166"/>
      <c r="T13" s="28"/>
      <c r="U13" s="28"/>
      <c r="V13" s="28"/>
      <c r="W13" s="28"/>
      <c r="X13" s="28"/>
      <c r="Y13" s="166"/>
    </row>
    <row r="14" spans="2:25" x14ac:dyDescent="0.25">
      <c r="B14" s="1" t="s">
        <v>163</v>
      </c>
      <c r="C14" s="27" t="s">
        <v>164</v>
      </c>
      <c r="D14" s="1" t="s">
        <v>165</v>
      </c>
      <c r="E14" s="1" t="s">
        <v>165</v>
      </c>
      <c r="F14" s="28"/>
      <c r="G14" s="28"/>
      <c r="H14" s="28"/>
      <c r="I14" s="28"/>
      <c r="J14" s="28"/>
      <c r="K14" s="28"/>
      <c r="L14" s="23">
        <v>0.44765550563999901</v>
      </c>
      <c r="M14" s="28">
        <v>62.79</v>
      </c>
      <c r="N14" s="28">
        <v>35.85</v>
      </c>
      <c r="O14" s="28">
        <v>2511.24923794185</v>
      </c>
      <c r="P14" s="28">
        <v>1148.92311417409</v>
      </c>
      <c r="Q14" s="28">
        <v>81.437560488384406</v>
      </c>
      <c r="R14" s="28">
        <v>52.862991217411398</v>
      </c>
      <c r="S14" s="166"/>
      <c r="T14" s="28"/>
      <c r="U14" s="28"/>
      <c r="V14" s="28"/>
      <c r="W14" s="28"/>
      <c r="X14" s="28"/>
      <c r="Y14" s="166"/>
    </row>
    <row r="15" spans="2:25" x14ac:dyDescent="0.25">
      <c r="B15" s="1" t="s">
        <v>166</v>
      </c>
      <c r="C15" s="27" t="s">
        <v>167</v>
      </c>
      <c r="D15" s="1" t="s">
        <v>168</v>
      </c>
      <c r="E15" s="1" t="s">
        <v>169</v>
      </c>
      <c r="F15" s="28"/>
      <c r="G15" s="28"/>
      <c r="H15" s="28"/>
      <c r="I15" s="28"/>
      <c r="J15" s="28"/>
      <c r="K15" s="28"/>
      <c r="L15" s="23">
        <v>0.33292505026923003</v>
      </c>
      <c r="M15" s="28">
        <v>45.26</v>
      </c>
      <c r="N15" s="28">
        <v>1.7</v>
      </c>
      <c r="O15" s="28">
        <v>2172.3627266989301</v>
      </c>
      <c r="P15" s="28">
        <v>834.86057214224002</v>
      </c>
      <c r="Q15" s="28">
        <v>56.7323521602816</v>
      </c>
      <c r="R15" s="28">
        <v>28.432735442008099</v>
      </c>
      <c r="S15" s="166"/>
      <c r="T15" s="28"/>
      <c r="U15" s="28"/>
      <c r="V15" s="28"/>
      <c r="W15" s="28"/>
      <c r="X15" s="28"/>
      <c r="Y15" s="166"/>
    </row>
    <row r="16" spans="2:25" x14ac:dyDescent="0.25">
      <c r="B16" s="1" t="s">
        <v>170</v>
      </c>
      <c r="C16" s="27" t="s">
        <v>171</v>
      </c>
      <c r="D16" s="1" t="s">
        <v>172</v>
      </c>
      <c r="E16" s="1" t="s">
        <v>173</v>
      </c>
      <c r="F16" s="28"/>
      <c r="G16" s="28"/>
      <c r="H16" s="28"/>
      <c r="I16" s="28"/>
      <c r="J16" s="28"/>
      <c r="K16" s="28"/>
      <c r="L16" s="23">
        <v>0.33034554429032198</v>
      </c>
      <c r="M16" s="28">
        <v>33.369999999999997</v>
      </c>
      <c r="N16" s="28">
        <v>282.73</v>
      </c>
      <c r="O16" s="28">
        <v>4867.3829600131003</v>
      </c>
      <c r="P16" s="28">
        <v>1204.2896050816801</v>
      </c>
      <c r="Q16" s="28">
        <v>71.158473299516004</v>
      </c>
      <c r="R16" s="28">
        <v>177.44678621394101</v>
      </c>
      <c r="S16" s="166"/>
      <c r="T16" s="28"/>
      <c r="U16" s="28"/>
      <c r="V16" s="28"/>
      <c r="W16" s="28"/>
      <c r="X16" s="28"/>
      <c r="Y16" s="166"/>
    </row>
    <row r="17" spans="2:25" x14ac:dyDescent="0.25">
      <c r="B17" s="1" t="s">
        <v>174</v>
      </c>
      <c r="C17" s="27" t="s">
        <v>175</v>
      </c>
      <c r="D17" s="1" t="s">
        <v>176</v>
      </c>
      <c r="E17" s="1" t="s">
        <v>177</v>
      </c>
      <c r="F17" s="28"/>
      <c r="G17" s="28"/>
      <c r="H17" s="28"/>
      <c r="I17" s="28"/>
      <c r="J17" s="28"/>
      <c r="K17" s="28"/>
      <c r="L17" s="23">
        <v>0.35720233914285698</v>
      </c>
      <c r="M17" s="28">
        <v>46.305</v>
      </c>
      <c r="N17" s="28">
        <v>1.4850000000000001</v>
      </c>
      <c r="O17" s="28">
        <v>1079.3231395990599</v>
      </c>
      <c r="P17" s="28">
        <v>605.04940126785198</v>
      </c>
      <c r="Q17" s="28">
        <v>22.090471264876498</v>
      </c>
      <c r="R17" s="28">
        <v>18.2570436408018</v>
      </c>
      <c r="S17" s="166"/>
      <c r="T17" s="28"/>
      <c r="U17" s="28"/>
      <c r="V17" s="28"/>
      <c r="W17" s="28"/>
      <c r="X17" s="28"/>
      <c r="Y17" s="166"/>
    </row>
    <row r="18" spans="2:25" x14ac:dyDescent="0.25">
      <c r="B18" s="1" t="s">
        <v>178</v>
      </c>
      <c r="C18" s="27" t="s">
        <v>179</v>
      </c>
      <c r="D18" s="1" t="s">
        <v>180</v>
      </c>
      <c r="E18" s="1" t="s">
        <v>181</v>
      </c>
      <c r="F18" s="28"/>
      <c r="G18" s="28"/>
      <c r="H18" s="28"/>
      <c r="I18" s="28"/>
      <c r="J18" s="28"/>
      <c r="K18" s="28"/>
      <c r="L18" s="23">
        <v>0.510644938121118</v>
      </c>
      <c r="M18" s="28">
        <v>23.58</v>
      </c>
      <c r="N18" s="28">
        <v>94.23</v>
      </c>
      <c r="O18" s="28">
        <v>1184.7438460434601</v>
      </c>
      <c r="P18" s="28">
        <v>496.06371878518303</v>
      </c>
      <c r="Q18" s="28">
        <v>31.918308983496999</v>
      </c>
      <c r="R18" s="28">
        <v>54.164307242659099</v>
      </c>
      <c r="S18" s="166"/>
      <c r="T18" s="28"/>
      <c r="U18" s="28"/>
      <c r="V18" s="28"/>
      <c r="W18" s="28"/>
      <c r="X18" s="28"/>
      <c r="Y18" s="166"/>
    </row>
    <row r="19" spans="2:25" x14ac:dyDescent="0.25">
      <c r="B19" s="1" t="s">
        <v>182</v>
      </c>
      <c r="C19" s="27" t="s">
        <v>183</v>
      </c>
      <c r="D19" s="1" t="s">
        <v>184</v>
      </c>
      <c r="E19" s="1" t="s">
        <v>185</v>
      </c>
      <c r="F19" s="28"/>
      <c r="G19" s="28"/>
      <c r="H19" s="28"/>
      <c r="I19" s="28"/>
      <c r="J19" s="28"/>
      <c r="K19" s="28"/>
      <c r="L19" s="23">
        <v>0.46148570192857102</v>
      </c>
      <c r="M19" s="28">
        <v>81.73</v>
      </c>
      <c r="N19" s="28">
        <v>4.3600000000000003</v>
      </c>
      <c r="O19" s="28">
        <v>1120.2847627594199</v>
      </c>
      <c r="P19" s="28">
        <v>651.30967942545306</v>
      </c>
      <c r="Q19" s="28">
        <v>33.7695626391438</v>
      </c>
      <c r="R19" s="28">
        <v>11.523681749749001</v>
      </c>
      <c r="S19" s="166"/>
      <c r="T19" s="28"/>
      <c r="U19" s="28"/>
      <c r="V19" s="28"/>
      <c r="W19" s="28"/>
      <c r="X19" s="28"/>
      <c r="Y19" s="166"/>
    </row>
    <row r="20" spans="2:25" x14ac:dyDescent="0.25">
      <c r="B20" s="1" t="s">
        <v>186</v>
      </c>
      <c r="C20" s="27" t="s">
        <v>187</v>
      </c>
      <c r="D20" s="1" t="s">
        <v>188</v>
      </c>
      <c r="E20" s="1" t="s">
        <v>188</v>
      </c>
      <c r="F20" s="28"/>
      <c r="G20" s="28"/>
      <c r="H20" s="28"/>
      <c r="I20" s="28"/>
      <c r="J20" s="28"/>
      <c r="K20" s="28"/>
      <c r="L20" s="23">
        <v>0.39301847594354999</v>
      </c>
      <c r="M20" s="28">
        <v>34.630000000000003</v>
      </c>
      <c r="N20" s="28">
        <v>133.33000000000001</v>
      </c>
      <c r="O20" s="28">
        <v>4284.4007703867701</v>
      </c>
      <c r="P20" s="28">
        <v>1957.20950938786</v>
      </c>
      <c r="Q20" s="28">
        <v>106.92865527044</v>
      </c>
      <c r="R20" s="28">
        <v>56.135027451496697</v>
      </c>
      <c r="S20" s="166"/>
      <c r="T20" s="28"/>
      <c r="U20" s="28"/>
      <c r="V20" s="28"/>
      <c r="W20" s="28"/>
      <c r="X20" s="28"/>
      <c r="Y20" s="166"/>
    </row>
    <row r="21" spans="2:25" x14ac:dyDescent="0.25">
      <c r="B21" s="1" t="s">
        <v>189</v>
      </c>
      <c r="C21" s="27" t="s">
        <v>190</v>
      </c>
      <c r="D21" s="1" t="s">
        <v>191</v>
      </c>
      <c r="E21" s="1" t="s">
        <v>191</v>
      </c>
      <c r="F21" s="28"/>
      <c r="G21" s="28"/>
      <c r="H21" s="28"/>
      <c r="I21" s="28"/>
      <c r="J21" s="28"/>
      <c r="K21" s="28"/>
      <c r="L21" s="23">
        <v>0.421739022971098</v>
      </c>
      <c r="M21" s="28">
        <v>26.2457142857143</v>
      </c>
      <c r="N21" s="28">
        <v>5.1142857142857201</v>
      </c>
      <c r="O21" s="28">
        <v>3964.9740715105299</v>
      </c>
      <c r="P21" s="28">
        <v>2348.7105051653898</v>
      </c>
      <c r="Q21" s="28">
        <v>95.725666543960003</v>
      </c>
      <c r="R21" s="28">
        <v>99.205856589272599</v>
      </c>
      <c r="S21" s="166"/>
      <c r="T21" s="28"/>
      <c r="U21" s="28"/>
      <c r="V21" s="28"/>
      <c r="W21" s="28"/>
      <c r="X21" s="28"/>
      <c r="Y21" s="166"/>
    </row>
    <row r="22" spans="2:25" x14ac:dyDescent="0.25">
      <c r="B22" s="1" t="s">
        <v>192</v>
      </c>
      <c r="C22" s="27" t="s">
        <v>193</v>
      </c>
      <c r="D22" s="1" t="s">
        <v>194</v>
      </c>
      <c r="E22" s="1" t="s">
        <v>195</v>
      </c>
      <c r="F22" s="28"/>
      <c r="G22" s="28"/>
      <c r="H22" s="28"/>
      <c r="I22" s="28"/>
      <c r="J22" s="28"/>
      <c r="K22" s="28"/>
      <c r="L22" s="23">
        <v>0.31242442898412598</v>
      </c>
      <c r="M22" s="28">
        <v>85.85</v>
      </c>
      <c r="N22" s="28">
        <v>4.17</v>
      </c>
      <c r="O22" s="28">
        <v>1931.5742909657099</v>
      </c>
      <c r="P22" s="28">
        <v>893.99343289908404</v>
      </c>
      <c r="Q22" s="28">
        <v>62.380701815897702</v>
      </c>
      <c r="R22" s="28">
        <v>28.624699279549301</v>
      </c>
      <c r="S22" s="166"/>
      <c r="T22" s="28"/>
      <c r="U22" s="28"/>
      <c r="V22" s="28"/>
      <c r="W22" s="28"/>
      <c r="X22" s="28"/>
      <c r="Y22" s="166"/>
    </row>
    <row r="23" spans="2:25" x14ac:dyDescent="0.25">
      <c r="B23" s="1" t="s">
        <v>196</v>
      </c>
      <c r="C23" s="27" t="s">
        <v>197</v>
      </c>
      <c r="D23" s="1" t="s">
        <v>198</v>
      </c>
      <c r="E23" s="1" t="s">
        <v>199</v>
      </c>
      <c r="F23" s="28"/>
      <c r="G23" s="28"/>
      <c r="H23" s="28"/>
      <c r="I23" s="28"/>
      <c r="J23" s="28"/>
      <c r="K23" s="28"/>
      <c r="L23" s="23">
        <v>0.39711270619047601</v>
      </c>
      <c r="M23" s="28">
        <v>17.3</v>
      </c>
      <c r="N23" s="28">
        <v>0.88</v>
      </c>
      <c r="O23" s="28">
        <v>942.45861847975596</v>
      </c>
      <c r="P23" s="28">
        <v>585.39718609938097</v>
      </c>
      <c r="Q23" s="28">
        <v>27.5407390412967</v>
      </c>
      <c r="R23" s="28">
        <v>13.815013319181</v>
      </c>
      <c r="S23" s="166"/>
      <c r="T23" s="28"/>
      <c r="U23" s="28"/>
      <c r="V23" s="28"/>
      <c r="W23" s="28"/>
      <c r="X23" s="28"/>
      <c r="Y23" s="166"/>
    </row>
    <row r="24" spans="2:25" x14ac:dyDescent="0.25">
      <c r="B24" s="1" t="s">
        <v>200</v>
      </c>
      <c r="C24" s="27" t="s">
        <v>201</v>
      </c>
      <c r="D24" s="1" t="s">
        <v>202</v>
      </c>
      <c r="E24" s="1" t="s">
        <v>202</v>
      </c>
      <c r="F24" s="28"/>
      <c r="G24" s="28"/>
      <c r="H24" s="28"/>
      <c r="I24" s="28"/>
      <c r="J24" s="28"/>
      <c r="K24" s="28"/>
      <c r="L24" s="23">
        <v>0.49188468082352899</v>
      </c>
      <c r="M24" s="28">
        <v>26.93</v>
      </c>
      <c r="N24" s="28">
        <v>85.31</v>
      </c>
      <c r="O24" s="28">
        <v>452.12270648161501</v>
      </c>
      <c r="P24" s="28">
        <v>281.71307988989702</v>
      </c>
      <c r="Q24" s="28">
        <v>13.184699526828201</v>
      </c>
      <c r="R24" s="28">
        <v>14.7463107625079</v>
      </c>
      <c r="S24" s="166"/>
      <c r="T24" s="28"/>
      <c r="U24" s="28"/>
      <c r="V24" s="28"/>
      <c r="W24" s="28"/>
      <c r="X24" s="28"/>
      <c r="Y24" s="166"/>
    </row>
    <row r="25" spans="2:25" x14ac:dyDescent="0.25">
      <c r="B25" s="1" t="s">
        <v>203</v>
      </c>
      <c r="C25" s="27" t="s">
        <v>204</v>
      </c>
      <c r="D25" s="1" t="s">
        <v>205</v>
      </c>
      <c r="E25" s="1" t="s">
        <v>205</v>
      </c>
      <c r="F25" s="28"/>
      <c r="G25" s="28"/>
      <c r="H25" s="28"/>
      <c r="I25" s="28"/>
      <c r="J25" s="28"/>
      <c r="K25" s="28"/>
      <c r="L25" s="23">
        <v>0.305726195199999</v>
      </c>
      <c r="M25" s="28">
        <v>35.99</v>
      </c>
      <c r="N25" s="28">
        <v>29.675000000000001</v>
      </c>
      <c r="O25" s="28">
        <v>3421.3889371724199</v>
      </c>
      <c r="P25" s="28">
        <v>1253.0168187647</v>
      </c>
      <c r="Q25" s="28">
        <v>73.503319718032103</v>
      </c>
      <c r="R25" s="28">
        <v>124.261848593491</v>
      </c>
      <c r="S25" s="166"/>
      <c r="T25" s="28"/>
      <c r="U25" s="28"/>
      <c r="V25" s="28"/>
      <c r="W25" s="28"/>
      <c r="X25" s="28"/>
      <c r="Y25" s="166"/>
    </row>
    <row r="26" spans="2:25" x14ac:dyDescent="0.25">
      <c r="B26" s="1" t="s">
        <v>206</v>
      </c>
      <c r="C26" s="27" t="s">
        <v>207</v>
      </c>
      <c r="D26" s="1" t="s">
        <v>208</v>
      </c>
      <c r="E26" s="1" t="s">
        <v>209</v>
      </c>
      <c r="F26" s="28"/>
      <c r="G26" s="28"/>
      <c r="H26" s="28"/>
      <c r="I26" s="28"/>
      <c r="J26" s="28"/>
      <c r="K26" s="28"/>
      <c r="L26" s="23">
        <v>0.72469226476922999</v>
      </c>
      <c r="M26" s="28">
        <v>35.58</v>
      </c>
      <c r="N26" s="28">
        <v>118.54</v>
      </c>
      <c r="O26" s="28">
        <v>472.326346332215</v>
      </c>
      <c r="P26" s="28">
        <v>226.66352372512799</v>
      </c>
      <c r="Q26" s="28">
        <v>5.4379471340815897</v>
      </c>
      <c r="R26" s="28">
        <v>9.3547878949043408</v>
      </c>
      <c r="S26" s="166"/>
      <c r="T26" s="28"/>
      <c r="U26" s="28"/>
      <c r="V26" s="28"/>
      <c r="W26" s="28"/>
      <c r="X26" s="28"/>
      <c r="Y26" s="166"/>
    </row>
    <row r="27" spans="2:25" x14ac:dyDescent="0.25">
      <c r="B27" s="1" t="s">
        <v>210</v>
      </c>
      <c r="C27" s="27" t="s">
        <v>211</v>
      </c>
      <c r="D27" s="1" t="s">
        <v>212</v>
      </c>
      <c r="E27" s="1" t="s">
        <v>213</v>
      </c>
      <c r="F27" s="28"/>
      <c r="G27" s="28"/>
      <c r="H27" s="28"/>
      <c r="I27" s="28"/>
      <c r="J27" s="28"/>
      <c r="K27" s="28"/>
      <c r="L27" s="23">
        <v>0.39799803187772897</v>
      </c>
      <c r="M27" s="28">
        <v>83.1</v>
      </c>
      <c r="N27" s="28">
        <v>66.680000000000007</v>
      </c>
      <c r="O27" s="28">
        <v>1956.5659866987501</v>
      </c>
      <c r="P27" s="28">
        <v>450.95408541130899</v>
      </c>
      <c r="Q27" s="28">
        <v>37.875814510034502</v>
      </c>
      <c r="R27" s="28">
        <v>46.682876562879997</v>
      </c>
      <c r="S27" s="166"/>
      <c r="T27" s="28"/>
      <c r="U27" s="28"/>
      <c r="V27" s="28"/>
      <c r="W27" s="28"/>
      <c r="X27" s="28"/>
      <c r="Y27" s="166"/>
    </row>
    <row r="28" spans="2:25" x14ac:dyDescent="0.25">
      <c r="B28" s="1" t="s">
        <v>460</v>
      </c>
      <c r="C28" s="27" t="s">
        <v>214</v>
      </c>
      <c r="D28" s="1" t="s">
        <v>215</v>
      </c>
      <c r="E28" s="1" t="s">
        <v>216</v>
      </c>
      <c r="F28" s="28"/>
      <c r="G28" s="28"/>
      <c r="H28" s="28"/>
      <c r="I28" s="28"/>
      <c r="J28" s="28"/>
      <c r="K28" s="28"/>
      <c r="L28" s="23">
        <v>0.43505932433459998</v>
      </c>
      <c r="M28" s="28">
        <v>36.31</v>
      </c>
      <c r="N28" s="28">
        <v>0.2</v>
      </c>
      <c r="O28" s="28">
        <v>3937.2708157132902</v>
      </c>
      <c r="P28" s="28">
        <v>1430.94161559639</v>
      </c>
      <c r="Q28" s="28">
        <v>138.270088478171</v>
      </c>
      <c r="R28" s="28">
        <v>27.262998120506499</v>
      </c>
      <c r="S28" s="166"/>
      <c r="T28" s="28"/>
      <c r="U28" s="28"/>
      <c r="V28" s="28"/>
      <c r="W28" s="28"/>
      <c r="X28" s="28"/>
      <c r="Y28" s="166"/>
    </row>
    <row r="29" spans="2:25" x14ac:dyDescent="0.25">
      <c r="B29" s="1" t="s">
        <v>217</v>
      </c>
      <c r="C29" s="27" t="s">
        <v>218</v>
      </c>
      <c r="D29" s="1" t="s">
        <v>219</v>
      </c>
      <c r="E29" s="1" t="s">
        <v>220</v>
      </c>
      <c r="F29" s="28"/>
      <c r="G29" s="28"/>
      <c r="H29" s="28"/>
      <c r="I29" s="28"/>
      <c r="J29" s="28"/>
      <c r="K29" s="28"/>
      <c r="L29" s="23">
        <v>0.46079791238012102</v>
      </c>
      <c r="M29" s="28">
        <v>20.170000000000002</v>
      </c>
      <c r="N29" s="28">
        <v>15.49</v>
      </c>
      <c r="O29" s="28">
        <v>397.48234569783102</v>
      </c>
      <c r="P29" s="28">
        <v>303.26225791102701</v>
      </c>
      <c r="Q29" s="28">
        <v>7.8603877707236496</v>
      </c>
      <c r="R29" s="28">
        <v>7.9604100348652604</v>
      </c>
      <c r="S29" s="166"/>
      <c r="T29" s="28"/>
      <c r="U29" s="28"/>
      <c r="V29" s="28"/>
      <c r="W29" s="28"/>
      <c r="X29" s="28"/>
      <c r="Y29" s="166"/>
    </row>
    <row r="30" spans="2:25" x14ac:dyDescent="0.25">
      <c r="B30" s="1" t="s">
        <v>221</v>
      </c>
      <c r="C30" s="27" t="s">
        <v>222</v>
      </c>
      <c r="D30" s="1" t="s">
        <v>223</v>
      </c>
      <c r="E30" s="1" t="s">
        <v>223</v>
      </c>
      <c r="F30" s="28"/>
      <c r="G30" s="28"/>
      <c r="H30" s="28"/>
      <c r="I30" s="28"/>
      <c r="J30" s="28"/>
      <c r="K30" s="28"/>
      <c r="L30" s="23">
        <v>0.45308483484891199</v>
      </c>
      <c r="M30" s="28">
        <v>45.715000000000003</v>
      </c>
      <c r="N30" s="28">
        <v>43.135000000000005</v>
      </c>
      <c r="O30" s="28">
        <v>3420.2745472617225</v>
      </c>
      <c r="P30" s="28">
        <v>1662.8888757574393</v>
      </c>
      <c r="Q30" s="28">
        <v>104.55170316141681</v>
      </c>
      <c r="R30" s="28">
        <v>77.705903228741164</v>
      </c>
      <c r="S30" s="166"/>
      <c r="T30" s="28"/>
      <c r="U30" s="28"/>
      <c r="V30" s="28"/>
      <c r="W30" s="28"/>
      <c r="X30" s="28"/>
      <c r="Y30" s="166"/>
    </row>
    <row r="31" spans="2:25" x14ac:dyDescent="0.25">
      <c r="B31" s="1" t="s">
        <v>224</v>
      </c>
      <c r="C31" s="27" t="s">
        <v>225</v>
      </c>
      <c r="D31" s="1" t="s">
        <v>226</v>
      </c>
      <c r="E31" s="1" t="s">
        <v>226</v>
      </c>
      <c r="F31" s="28"/>
      <c r="G31" s="28"/>
      <c r="H31" s="28"/>
      <c r="I31" s="28"/>
      <c r="J31" s="28"/>
      <c r="K31" s="28"/>
      <c r="L31" s="23">
        <v>0.37796958861538399</v>
      </c>
      <c r="M31" s="28">
        <v>24.499999999999996</v>
      </c>
      <c r="N31" s="28">
        <v>4.5299999999999994</v>
      </c>
      <c r="O31" s="28">
        <v>831.47844132950229</v>
      </c>
      <c r="P31" s="28">
        <v>490.11846954835892</v>
      </c>
      <c r="Q31" s="28">
        <v>17.785574951299189</v>
      </c>
      <c r="R31" s="28">
        <v>15.401368150760105</v>
      </c>
      <c r="S31" s="166"/>
      <c r="T31" s="28"/>
      <c r="U31" s="28"/>
      <c r="V31" s="28"/>
      <c r="W31" s="28"/>
      <c r="X31" s="28"/>
      <c r="Y31" s="166"/>
    </row>
    <row r="32" spans="2:25" x14ac:dyDescent="0.25">
      <c r="B32" s="1" t="s">
        <v>227</v>
      </c>
      <c r="C32" s="27" t="s">
        <v>228</v>
      </c>
      <c r="D32" s="1" t="s">
        <v>229</v>
      </c>
      <c r="E32" s="1" t="s">
        <v>229</v>
      </c>
      <c r="F32" s="28"/>
      <c r="G32" s="28"/>
      <c r="H32" s="28"/>
      <c r="I32" s="28"/>
      <c r="J32" s="28"/>
      <c r="K32" s="28"/>
      <c r="L32" s="23">
        <v>0.48549410841860402</v>
      </c>
      <c r="M32" s="28">
        <v>22.68</v>
      </c>
      <c r="N32" s="28">
        <v>2.25</v>
      </c>
      <c r="O32" s="28">
        <v>637.00283260565061</v>
      </c>
      <c r="P32" s="28">
        <v>487.25992013521108</v>
      </c>
      <c r="Q32" s="28">
        <v>13.361789400417123</v>
      </c>
      <c r="R32" s="28">
        <v>5.5794598602483951</v>
      </c>
      <c r="S32" s="166"/>
      <c r="T32" s="28"/>
      <c r="U32" s="28"/>
      <c r="V32" s="28"/>
      <c r="W32" s="28"/>
      <c r="X32" s="28"/>
      <c r="Y32" s="166"/>
    </row>
    <row r="33" spans="2:25" x14ac:dyDescent="0.25">
      <c r="B33" s="1" t="s">
        <v>230</v>
      </c>
      <c r="C33" s="27" t="s">
        <v>231</v>
      </c>
      <c r="D33" s="1" t="s">
        <v>232</v>
      </c>
      <c r="E33" s="1" t="s">
        <v>232</v>
      </c>
      <c r="F33" s="28"/>
      <c r="G33" s="28"/>
      <c r="H33" s="28"/>
      <c r="I33" s="28"/>
      <c r="J33" s="28"/>
      <c r="K33" s="28"/>
      <c r="L33" s="23">
        <v>0.38326532874999902</v>
      </c>
      <c r="M33" s="28">
        <v>29.939999999999998</v>
      </c>
      <c r="N33" s="28">
        <v>2.5200000000000005</v>
      </c>
      <c r="O33" s="28">
        <v>1863.9856607378194</v>
      </c>
      <c r="P33" s="28">
        <v>1068.755235157563</v>
      </c>
      <c r="Q33" s="28">
        <v>63.120501495203079</v>
      </c>
      <c r="R33" s="28">
        <v>15.93901510168711</v>
      </c>
      <c r="S33" s="166"/>
      <c r="T33" s="28"/>
      <c r="U33" s="28"/>
      <c r="V33" s="28"/>
      <c r="W33" s="28"/>
      <c r="X33" s="28"/>
      <c r="Y33" s="166"/>
    </row>
    <row r="34" spans="2:25" x14ac:dyDescent="0.25">
      <c r="B34" s="1" t="s">
        <v>233</v>
      </c>
      <c r="C34" s="27" t="s">
        <v>234</v>
      </c>
      <c r="D34" s="1" t="s">
        <v>235</v>
      </c>
      <c r="E34" s="1" t="s">
        <v>236</v>
      </c>
      <c r="F34" s="28"/>
      <c r="G34" s="28"/>
      <c r="H34" s="28"/>
      <c r="I34" s="28"/>
      <c r="J34" s="28"/>
      <c r="K34" s="28"/>
      <c r="L34" s="23">
        <v>0.38100377687179399</v>
      </c>
      <c r="M34" s="28">
        <v>42.99</v>
      </c>
      <c r="N34" s="28">
        <v>0.30999999999999994</v>
      </c>
      <c r="O34" s="28">
        <v>2083.0314238261903</v>
      </c>
      <c r="P34" s="28">
        <v>904.3666748261254</v>
      </c>
      <c r="Q34" s="28">
        <v>80.837667926570816</v>
      </c>
      <c r="R34" s="28">
        <v>19.587614081399828</v>
      </c>
      <c r="S34" s="166"/>
      <c r="T34" s="28"/>
      <c r="U34" s="28"/>
      <c r="V34" s="28"/>
      <c r="W34" s="28"/>
      <c r="X34" s="28"/>
      <c r="Y34" s="166"/>
    </row>
    <row r="35" spans="2:25" x14ac:dyDescent="0.25">
      <c r="B35" s="1" t="s">
        <v>237</v>
      </c>
      <c r="C35" s="27" t="s">
        <v>238</v>
      </c>
      <c r="D35" s="1" t="s">
        <v>239</v>
      </c>
      <c r="E35" s="1" t="s">
        <v>240</v>
      </c>
      <c r="F35" s="28"/>
      <c r="G35" s="28"/>
      <c r="H35" s="28"/>
      <c r="I35" s="28"/>
      <c r="J35" s="28"/>
      <c r="K35" s="28"/>
      <c r="L35" s="23">
        <v>0.38379813291356601</v>
      </c>
      <c r="M35" s="28">
        <v>52.795000000000002</v>
      </c>
      <c r="N35" s="28">
        <v>3.58</v>
      </c>
      <c r="O35" s="28">
        <v>4315.7919804497897</v>
      </c>
      <c r="P35" s="28">
        <v>2387.8788614485497</v>
      </c>
      <c r="Q35" s="28">
        <v>92.437352119223704</v>
      </c>
      <c r="R35" s="28">
        <v>59.520100642333261</v>
      </c>
      <c r="S35" s="166"/>
      <c r="T35" s="28"/>
      <c r="U35" s="28"/>
      <c r="V35" s="28"/>
      <c r="W35" s="28"/>
      <c r="X35" s="28"/>
      <c r="Y35" s="166"/>
    </row>
    <row r="36" spans="2:25" x14ac:dyDescent="0.25">
      <c r="B36" s="1" t="s">
        <v>241</v>
      </c>
      <c r="C36" s="27" t="s">
        <v>242</v>
      </c>
      <c r="D36" s="1" t="s">
        <v>243</v>
      </c>
      <c r="E36" s="1" t="s">
        <v>244</v>
      </c>
      <c r="F36" s="28"/>
      <c r="G36" s="28"/>
      <c r="H36" s="28"/>
      <c r="I36" s="28"/>
      <c r="J36" s="28"/>
      <c r="K36" s="28"/>
      <c r="L36" s="23">
        <v>0.32664440479961199</v>
      </c>
      <c r="M36" s="28">
        <v>24.130000000000003</v>
      </c>
      <c r="N36" s="28">
        <v>0.18</v>
      </c>
      <c r="O36" s="28">
        <v>1027.2016176146644</v>
      </c>
      <c r="P36" s="28">
        <v>536.86576979331119</v>
      </c>
      <c r="Q36" s="28">
        <v>34.496411642702078</v>
      </c>
      <c r="R36" s="28">
        <v>7.0754439743520026</v>
      </c>
      <c r="S36" s="166"/>
      <c r="T36" s="28"/>
      <c r="U36" s="28"/>
      <c r="V36" s="28"/>
      <c r="W36" s="28"/>
      <c r="X36" s="28"/>
      <c r="Y36" s="166"/>
    </row>
    <row r="37" spans="2:25" x14ac:dyDescent="0.25">
      <c r="B37" s="1" t="s">
        <v>245</v>
      </c>
      <c r="C37" s="27" t="s">
        <v>246</v>
      </c>
      <c r="D37" s="1" t="s">
        <v>247</v>
      </c>
      <c r="E37" s="1" t="s">
        <v>248</v>
      </c>
      <c r="F37" s="28"/>
      <c r="G37" s="28"/>
      <c r="H37" s="28"/>
      <c r="I37" s="28"/>
      <c r="J37" s="28"/>
      <c r="K37" s="28"/>
      <c r="L37" s="23">
        <v>0.43694401930434701</v>
      </c>
      <c r="M37" s="28">
        <v>42.54</v>
      </c>
      <c r="N37" s="28">
        <v>3</v>
      </c>
      <c r="O37" s="28">
        <v>1483.501985534976</v>
      </c>
      <c r="P37" s="28">
        <v>706.06980759588089</v>
      </c>
      <c r="Q37" s="28">
        <v>46.907273212098382</v>
      </c>
      <c r="R37" s="28">
        <v>30.394197454773501</v>
      </c>
      <c r="S37" s="166"/>
      <c r="T37" s="28"/>
      <c r="U37" s="28"/>
      <c r="V37" s="28"/>
      <c r="W37" s="28"/>
      <c r="X37" s="28"/>
      <c r="Y37" s="166"/>
    </row>
    <row r="38" spans="2:25" x14ac:dyDescent="0.25">
      <c r="B38" s="1" t="s">
        <v>249</v>
      </c>
      <c r="C38" s="27" t="s">
        <v>250</v>
      </c>
      <c r="D38" s="1" t="s">
        <v>251</v>
      </c>
      <c r="E38" s="1" t="s">
        <v>251</v>
      </c>
      <c r="F38" s="28"/>
      <c r="G38" s="28"/>
      <c r="H38" s="28"/>
      <c r="I38" s="28"/>
      <c r="J38" s="28"/>
      <c r="K38" s="28"/>
      <c r="L38" s="23">
        <v>0.45862658177777699</v>
      </c>
      <c r="M38" s="28">
        <v>56.970000000000006</v>
      </c>
      <c r="N38" s="28">
        <v>12.4</v>
      </c>
      <c r="O38" s="28">
        <v>1060.583219696</v>
      </c>
      <c r="P38" s="28">
        <v>488.89190721194154</v>
      </c>
      <c r="Q38" s="28">
        <v>38.395430051431532</v>
      </c>
      <c r="R38" s="28">
        <v>17.587663302499514</v>
      </c>
      <c r="S38" s="166"/>
      <c r="T38" s="28"/>
      <c r="U38" s="28"/>
      <c r="V38" s="28"/>
      <c r="W38" s="28"/>
      <c r="X38" s="28"/>
      <c r="Y38" s="166"/>
    </row>
    <row r="39" spans="2:25" x14ac:dyDescent="0.25">
      <c r="B39" s="1" t="s">
        <v>466</v>
      </c>
      <c r="C39" s="27" t="s">
        <v>252</v>
      </c>
      <c r="D39" s="1" t="s">
        <v>253</v>
      </c>
      <c r="E39" s="1" t="s">
        <v>253</v>
      </c>
      <c r="F39" s="28"/>
      <c r="G39" s="28"/>
      <c r="H39" s="28"/>
      <c r="I39" s="28"/>
      <c r="J39" s="28"/>
      <c r="K39" s="28"/>
      <c r="L39" s="23">
        <v>0.56736755905263103</v>
      </c>
      <c r="M39" s="28">
        <v>20.68</v>
      </c>
      <c r="N39" s="28">
        <v>0.6</v>
      </c>
      <c r="O39" s="28">
        <v>707.02532345262</v>
      </c>
      <c r="P39" s="28">
        <v>451.67976803640801</v>
      </c>
      <c r="Q39" s="28">
        <v>16.164323239574799</v>
      </c>
      <c r="R39" s="28">
        <v>11.6302486872811</v>
      </c>
      <c r="S39" s="166"/>
      <c r="T39" s="28"/>
      <c r="U39" s="28"/>
      <c r="V39" s="28"/>
      <c r="W39" s="28"/>
      <c r="X39" s="28"/>
      <c r="Y39" s="166"/>
    </row>
    <row r="40" spans="2:25" x14ac:dyDescent="0.25">
      <c r="B40" s="1" t="s">
        <v>254</v>
      </c>
      <c r="C40" s="27" t="s">
        <v>255</v>
      </c>
      <c r="D40" s="1" t="s">
        <v>256</v>
      </c>
      <c r="E40" s="1" t="s">
        <v>256</v>
      </c>
      <c r="F40" s="28"/>
      <c r="G40" s="28"/>
      <c r="H40" s="28"/>
      <c r="I40" s="28"/>
      <c r="J40" s="28"/>
      <c r="K40" s="28"/>
      <c r="L40" s="23">
        <v>0.54535642327586098</v>
      </c>
      <c r="M40" s="28">
        <v>49.676666666666669</v>
      </c>
      <c r="N40" s="28">
        <v>26.260000000000005</v>
      </c>
      <c r="O40" s="28">
        <v>1825.2045303986408</v>
      </c>
      <c r="P40" s="28">
        <v>1326.38903555053</v>
      </c>
      <c r="Q40" s="28">
        <v>36.347052182442418</v>
      </c>
      <c r="R40" s="28">
        <v>27.55218112789764</v>
      </c>
      <c r="S40" s="166"/>
      <c r="T40" s="28"/>
      <c r="U40" s="28"/>
      <c r="V40" s="28"/>
      <c r="W40" s="28"/>
      <c r="X40" s="28"/>
      <c r="Y40" s="166"/>
    </row>
    <row r="41" spans="2:25" x14ac:dyDescent="0.25">
      <c r="B41" s="1" t="s">
        <v>257</v>
      </c>
      <c r="C41" s="27" t="s">
        <v>258</v>
      </c>
      <c r="D41" s="1" t="s">
        <v>259</v>
      </c>
      <c r="E41" s="1" t="s">
        <v>259</v>
      </c>
      <c r="F41" s="28"/>
      <c r="G41" s="28"/>
      <c r="H41" s="28"/>
      <c r="I41" s="28"/>
      <c r="J41" s="28"/>
      <c r="K41" s="28"/>
      <c r="L41" s="23">
        <v>0.472425860999999</v>
      </c>
      <c r="M41" s="28">
        <v>33.1</v>
      </c>
      <c r="N41" s="28">
        <v>151.63000000000002</v>
      </c>
      <c r="O41" s="28">
        <v>533.51535223192491</v>
      </c>
      <c r="P41" s="28">
        <v>365.34472339141934</v>
      </c>
      <c r="Q41" s="28">
        <v>11.324033281589243</v>
      </c>
      <c r="R41" s="28">
        <v>10.723389578266961</v>
      </c>
      <c r="S41" s="166"/>
      <c r="T41" s="28"/>
      <c r="U41" s="28"/>
      <c r="V41" s="28"/>
      <c r="W41" s="28"/>
      <c r="X41" s="28"/>
      <c r="Y41" s="166"/>
    </row>
    <row r="42" spans="2:25" x14ac:dyDescent="0.25">
      <c r="B42" s="1" t="s">
        <v>260</v>
      </c>
      <c r="C42" s="27" t="s">
        <v>261</v>
      </c>
      <c r="D42" s="1" t="s">
        <v>262</v>
      </c>
      <c r="E42" s="1" t="s">
        <v>262</v>
      </c>
      <c r="F42" s="28"/>
      <c r="G42" s="28"/>
      <c r="H42" s="28"/>
      <c r="I42" s="28"/>
      <c r="J42" s="28"/>
      <c r="K42" s="28"/>
      <c r="L42" s="23">
        <v>0.44217348711111099</v>
      </c>
      <c r="M42" s="28">
        <v>39.970000000000006</v>
      </c>
      <c r="N42" s="28">
        <v>0.15</v>
      </c>
      <c r="O42" s="28">
        <v>2635.332763980367</v>
      </c>
      <c r="P42" s="28">
        <v>1351.3577642862188</v>
      </c>
      <c r="Q42" s="28">
        <v>96.275391864229093</v>
      </c>
      <c r="R42" s="28">
        <v>20.958972069539385</v>
      </c>
      <c r="S42" s="166"/>
      <c r="T42" s="28"/>
      <c r="U42" s="28"/>
      <c r="V42" s="28"/>
      <c r="W42" s="28"/>
      <c r="X42" s="28"/>
      <c r="Y42" s="166"/>
    </row>
    <row r="43" spans="2:25" x14ac:dyDescent="0.25">
      <c r="B43" s="1" t="s">
        <v>263</v>
      </c>
      <c r="C43" s="27" t="s">
        <v>264</v>
      </c>
      <c r="D43" s="1" t="s">
        <v>265</v>
      </c>
      <c r="E43" s="1" t="s">
        <v>265</v>
      </c>
      <c r="F43" s="28"/>
      <c r="G43" s="28"/>
      <c r="H43" s="28"/>
      <c r="I43" s="28"/>
      <c r="J43" s="28"/>
      <c r="K43" s="28"/>
      <c r="L43" s="23">
        <v>0.52994146496551697</v>
      </c>
      <c r="M43" s="28">
        <v>26.059999999999995</v>
      </c>
      <c r="N43" s="28">
        <v>1.4</v>
      </c>
      <c r="O43" s="28">
        <v>256.49006311123475</v>
      </c>
      <c r="P43" s="28">
        <v>140.31166486088162</v>
      </c>
      <c r="Q43" s="28">
        <v>6.5483015317946567</v>
      </c>
      <c r="R43" s="28">
        <v>3.650056414514391</v>
      </c>
      <c r="S43" s="166"/>
      <c r="T43" s="28"/>
      <c r="U43" s="28"/>
      <c r="V43" s="28"/>
      <c r="W43" s="28"/>
      <c r="X43" s="28"/>
      <c r="Y43" s="166"/>
    </row>
    <row r="44" spans="2:25" x14ac:dyDescent="0.25">
      <c r="B44" s="1" t="s">
        <v>266</v>
      </c>
      <c r="C44" s="27" t="s">
        <v>267</v>
      </c>
      <c r="D44" s="1" t="s">
        <v>268</v>
      </c>
      <c r="E44" s="1" t="s">
        <v>268</v>
      </c>
      <c r="F44" s="28"/>
      <c r="G44" s="28"/>
      <c r="H44" s="28"/>
      <c r="I44" s="28"/>
      <c r="J44" s="28"/>
      <c r="K44" s="28"/>
      <c r="L44" s="23">
        <v>0.39005064732824402</v>
      </c>
      <c r="M44" s="28">
        <v>23.91</v>
      </c>
      <c r="N44" s="28">
        <v>0.22999999999999998</v>
      </c>
      <c r="O44" s="28">
        <v>6296.1051061356511</v>
      </c>
      <c r="P44" s="28">
        <v>2826.7258409325314</v>
      </c>
      <c r="Q44" s="28">
        <v>211.21114774601205</v>
      </c>
      <c r="R44" s="28">
        <v>97.193437071758225</v>
      </c>
      <c r="S44" s="166"/>
      <c r="T44" s="28"/>
      <c r="U44" s="28"/>
      <c r="V44" s="28"/>
      <c r="W44" s="28"/>
      <c r="X44" s="28"/>
      <c r="Y44" s="166"/>
    </row>
    <row r="45" spans="2:25" x14ac:dyDescent="0.25">
      <c r="B45" s="1" t="s">
        <v>269</v>
      </c>
      <c r="C45" s="27" t="s">
        <v>270</v>
      </c>
      <c r="D45" s="1" t="s">
        <v>271</v>
      </c>
      <c r="E45" s="1" t="s">
        <v>271</v>
      </c>
      <c r="F45" s="28"/>
      <c r="G45" s="28"/>
      <c r="H45" s="28"/>
      <c r="I45" s="28"/>
      <c r="J45" s="28"/>
      <c r="K45" s="28"/>
      <c r="L45" s="23">
        <v>0.43199461899999902</v>
      </c>
      <c r="M45" s="28">
        <v>36.72</v>
      </c>
      <c r="N45" s="28">
        <v>26.619999999999997</v>
      </c>
      <c r="O45" s="28">
        <v>559.65411426869025</v>
      </c>
      <c r="P45" s="28">
        <v>371.04247788519041</v>
      </c>
      <c r="Q45" s="28">
        <v>14.410749094856664</v>
      </c>
      <c r="R45" s="28">
        <v>15.176702790308489</v>
      </c>
      <c r="S45" s="166"/>
      <c r="T45" s="28"/>
      <c r="U45" s="28"/>
      <c r="V45" s="28"/>
      <c r="W45" s="28"/>
      <c r="X45" s="28"/>
      <c r="Y45" s="166"/>
    </row>
    <row r="46" spans="2:25" x14ac:dyDescent="0.25">
      <c r="B46" s="1" t="s">
        <v>272</v>
      </c>
      <c r="C46" s="27" t="s">
        <v>273</v>
      </c>
      <c r="D46" s="1" t="s">
        <v>274</v>
      </c>
      <c r="E46" s="1" t="s">
        <v>274</v>
      </c>
      <c r="F46" s="28"/>
      <c r="G46" s="28"/>
      <c r="H46" s="28"/>
      <c r="I46" s="28"/>
      <c r="J46" s="28"/>
      <c r="K46" s="28"/>
      <c r="L46" s="23">
        <v>0.32377126628993602</v>
      </c>
      <c r="M46" s="28">
        <v>30.390000000000004</v>
      </c>
      <c r="N46" s="28">
        <v>2.38</v>
      </c>
      <c r="O46" s="28">
        <v>476.31615989860143</v>
      </c>
      <c r="P46" s="28">
        <v>243.78981433517114</v>
      </c>
      <c r="Q46" s="28">
        <v>15.999201590547294</v>
      </c>
      <c r="R46" s="28">
        <v>2.7853303423634452</v>
      </c>
      <c r="S46" s="166"/>
      <c r="T46" s="28"/>
      <c r="U46" s="28"/>
      <c r="V46" s="28"/>
      <c r="W46" s="28"/>
      <c r="X46" s="28"/>
      <c r="Y46" s="166"/>
    </row>
    <row r="47" spans="2:25" x14ac:dyDescent="0.25">
      <c r="B47" s="1" t="s">
        <v>275</v>
      </c>
      <c r="C47" s="27" t="s">
        <v>276</v>
      </c>
      <c r="D47" s="1" t="s">
        <v>277</v>
      </c>
      <c r="E47" s="1" t="s">
        <v>277</v>
      </c>
      <c r="F47" s="28"/>
      <c r="G47" s="28"/>
      <c r="H47" s="28"/>
      <c r="I47" s="28"/>
      <c r="J47" s="28"/>
      <c r="K47" s="28"/>
      <c r="L47" s="23">
        <v>0.46296590582608599</v>
      </c>
      <c r="M47" s="28">
        <v>32.89</v>
      </c>
      <c r="N47" s="28">
        <v>13.529999999999998</v>
      </c>
      <c r="O47" s="28">
        <v>1235.8335868976894</v>
      </c>
      <c r="P47" s="28">
        <v>653.65750010319266</v>
      </c>
      <c r="Q47" s="28">
        <v>25.901673091595967</v>
      </c>
      <c r="R47" s="28">
        <v>41.536401185044788</v>
      </c>
      <c r="S47" s="166"/>
      <c r="T47" s="28"/>
      <c r="U47" s="28"/>
      <c r="V47" s="28"/>
      <c r="W47" s="28"/>
      <c r="X47" s="28"/>
      <c r="Y47" s="166"/>
    </row>
    <row r="48" spans="2:25" x14ac:dyDescent="0.25">
      <c r="B48" s="1" t="s">
        <v>278</v>
      </c>
      <c r="C48" s="27" t="s">
        <v>279</v>
      </c>
      <c r="D48" s="1" t="s">
        <v>280</v>
      </c>
      <c r="E48" s="1" t="s">
        <v>280</v>
      </c>
      <c r="F48" s="28"/>
      <c r="G48" s="28"/>
      <c r="H48" s="28"/>
      <c r="I48" s="28"/>
      <c r="J48" s="28"/>
      <c r="K48" s="28"/>
      <c r="L48" s="23">
        <v>0.42384182761904698</v>
      </c>
      <c r="M48" s="28">
        <v>32.100000000000009</v>
      </c>
      <c r="N48" s="28">
        <v>3.7</v>
      </c>
      <c r="O48" s="28">
        <v>170.44250703939434</v>
      </c>
      <c r="P48" s="28">
        <v>135.72540461409696</v>
      </c>
      <c r="Q48" s="28">
        <v>3.7254005717519192</v>
      </c>
      <c r="R48" s="28">
        <v>2.3655693963839539</v>
      </c>
      <c r="S48" s="166"/>
      <c r="T48" s="28"/>
      <c r="U48" s="28"/>
      <c r="V48" s="28"/>
      <c r="W48" s="28"/>
      <c r="X48" s="28"/>
      <c r="Y48" s="166"/>
    </row>
    <row r="49" spans="2:25" x14ac:dyDescent="0.25">
      <c r="B49" s="1" t="s">
        <v>281</v>
      </c>
      <c r="C49" s="27" t="s">
        <v>282</v>
      </c>
      <c r="D49" s="1" t="s">
        <v>283</v>
      </c>
      <c r="E49" s="1" t="s">
        <v>283</v>
      </c>
      <c r="F49" s="28"/>
      <c r="G49" s="28"/>
      <c r="H49" s="28"/>
      <c r="I49" s="28"/>
      <c r="J49" s="28"/>
      <c r="K49" s="28"/>
      <c r="L49" s="23">
        <v>0.392737115999999</v>
      </c>
      <c r="M49" s="28">
        <v>54.19250000000001</v>
      </c>
      <c r="N49" s="28">
        <v>0.73750000000000004</v>
      </c>
      <c r="O49" s="28">
        <v>10510.36538798493</v>
      </c>
      <c r="P49" s="28">
        <v>4186.8103527903786</v>
      </c>
      <c r="Q49" s="28">
        <v>341.31528717245914</v>
      </c>
      <c r="R49" s="28">
        <v>140.50444302003945</v>
      </c>
      <c r="S49" s="166"/>
      <c r="T49" s="28"/>
      <c r="U49" s="28"/>
      <c r="V49" s="28"/>
      <c r="W49" s="28"/>
      <c r="X49" s="28"/>
      <c r="Y49" s="166"/>
    </row>
    <row r="50" spans="2:25" x14ac:dyDescent="0.25">
      <c r="B50" s="1" t="s">
        <v>284</v>
      </c>
      <c r="C50" s="27" t="s">
        <v>285</v>
      </c>
      <c r="D50" s="1" t="s">
        <v>286</v>
      </c>
      <c r="E50" s="1" t="s">
        <v>286</v>
      </c>
      <c r="F50" s="28"/>
      <c r="G50" s="28"/>
      <c r="H50" s="28"/>
      <c r="I50" s="28"/>
      <c r="J50" s="28"/>
      <c r="K50" s="28"/>
      <c r="L50" s="23">
        <v>0.47114645728571403</v>
      </c>
      <c r="M50" s="28">
        <v>65.09</v>
      </c>
      <c r="N50" s="28">
        <v>6.3699999999999992</v>
      </c>
      <c r="O50" s="28">
        <v>3616.61119705684</v>
      </c>
      <c r="P50" s="28">
        <v>1368.6433428207517</v>
      </c>
      <c r="Q50" s="28">
        <v>87.493181732833449</v>
      </c>
      <c r="R50" s="28">
        <v>60.784061534614615</v>
      </c>
      <c r="S50" s="166"/>
      <c r="T50" s="28"/>
      <c r="U50" s="28"/>
      <c r="V50" s="28"/>
      <c r="W50" s="28"/>
      <c r="X50" s="28"/>
      <c r="Y50" s="166"/>
    </row>
    <row r="51" spans="2:25" x14ac:dyDescent="0.25">
      <c r="B51" s="1" t="s">
        <v>287</v>
      </c>
      <c r="C51" s="27" t="s">
        <v>288</v>
      </c>
      <c r="D51" s="1" t="s">
        <v>289</v>
      </c>
      <c r="E51" s="1" t="s">
        <v>289</v>
      </c>
      <c r="F51" s="28"/>
      <c r="G51" s="28"/>
      <c r="H51" s="28"/>
      <c r="I51" s="28"/>
      <c r="J51" s="28"/>
      <c r="K51" s="28"/>
      <c r="L51" s="23">
        <v>0.37737290686830399</v>
      </c>
      <c r="M51" s="28">
        <v>18.88</v>
      </c>
      <c r="N51" s="28">
        <v>1.02</v>
      </c>
      <c r="O51" s="28">
        <v>196.21890283208583</v>
      </c>
      <c r="P51" s="28">
        <v>92.523008536507973</v>
      </c>
      <c r="Q51" s="28">
        <v>5.0708926511473367</v>
      </c>
      <c r="R51" s="28">
        <v>1.3634925796237694</v>
      </c>
      <c r="S51" s="166"/>
      <c r="T51" s="28"/>
      <c r="U51" s="28"/>
      <c r="V51" s="28"/>
      <c r="W51" s="28"/>
      <c r="X51" s="28"/>
      <c r="Y51" s="166"/>
    </row>
    <row r="52" spans="2:25" x14ac:dyDescent="0.25">
      <c r="B52" s="1" t="s">
        <v>290</v>
      </c>
      <c r="C52" s="27" t="s">
        <v>291</v>
      </c>
      <c r="D52" s="1" t="s">
        <v>292</v>
      </c>
      <c r="E52" s="1" t="s">
        <v>292</v>
      </c>
      <c r="F52" s="28"/>
      <c r="G52" s="28"/>
      <c r="H52" s="28"/>
      <c r="I52" s="28"/>
      <c r="J52" s="28"/>
      <c r="K52" s="28"/>
      <c r="L52" s="23">
        <v>0.45387741779402702</v>
      </c>
      <c r="M52" s="28">
        <v>65.09</v>
      </c>
      <c r="N52" s="28">
        <v>6.37</v>
      </c>
      <c r="O52" s="28">
        <v>3616.61119705684</v>
      </c>
      <c r="P52" s="28">
        <v>1368.6433428207499</v>
      </c>
      <c r="Q52" s="28">
        <v>87.493181732833506</v>
      </c>
      <c r="R52" s="28">
        <v>60.784061534614601</v>
      </c>
      <c r="S52" s="166"/>
      <c r="T52" s="28"/>
      <c r="U52" s="28"/>
      <c r="V52" s="28"/>
      <c r="W52" s="28"/>
      <c r="X52" s="28"/>
      <c r="Y52" s="166"/>
    </row>
    <row r="53" spans="2:25" x14ac:dyDescent="0.25">
      <c r="B53" s="1" t="s">
        <v>293</v>
      </c>
      <c r="C53" s="27" t="s">
        <v>294</v>
      </c>
      <c r="D53" s="1" t="s">
        <v>295</v>
      </c>
      <c r="E53" s="1" t="s">
        <v>295</v>
      </c>
      <c r="F53" s="28"/>
      <c r="G53" s="28"/>
      <c r="H53" s="28"/>
      <c r="I53" s="28"/>
      <c r="J53" s="28"/>
      <c r="K53" s="28"/>
      <c r="L53" s="23">
        <v>0.62542746866666599</v>
      </c>
      <c r="M53" s="28">
        <v>18.88</v>
      </c>
      <c r="N53" s="28">
        <v>1.02</v>
      </c>
      <c r="O53" s="28">
        <v>196.218902832086</v>
      </c>
      <c r="P53" s="28">
        <v>92.523008536508001</v>
      </c>
      <c r="Q53" s="28">
        <v>5.0708926511473402</v>
      </c>
      <c r="R53" s="28">
        <v>1.36349257962377</v>
      </c>
      <c r="S53" s="166"/>
      <c r="T53" s="28"/>
      <c r="U53" s="28"/>
      <c r="V53" s="28"/>
      <c r="W53" s="28"/>
      <c r="X53" s="28"/>
      <c r="Y53" s="166"/>
    </row>
    <row r="54" spans="2:25" x14ac:dyDescent="0.25">
      <c r="B54" s="1" t="s">
        <v>296</v>
      </c>
      <c r="C54" s="27" t="s">
        <v>297</v>
      </c>
      <c r="D54" s="1" t="s">
        <v>298</v>
      </c>
      <c r="E54" s="1" t="s">
        <v>298</v>
      </c>
      <c r="F54" s="28"/>
      <c r="G54" s="28"/>
      <c r="H54" s="28"/>
      <c r="I54" s="28"/>
      <c r="J54" s="28"/>
      <c r="K54" s="28"/>
      <c r="L54" s="23">
        <v>0.39934960525581298</v>
      </c>
      <c r="M54" s="28">
        <v>20.47</v>
      </c>
      <c r="N54" s="28">
        <v>1.05</v>
      </c>
      <c r="O54" s="28">
        <v>1336.13433778492</v>
      </c>
      <c r="P54" s="28">
        <v>675.29809379526296</v>
      </c>
      <c r="Q54" s="28">
        <v>45.819368519605099</v>
      </c>
      <c r="R54" s="28">
        <v>11.669746596408499</v>
      </c>
      <c r="S54" s="166"/>
      <c r="T54" s="28"/>
      <c r="U54" s="28"/>
      <c r="V54" s="28"/>
      <c r="W54" s="28"/>
      <c r="X54" s="28"/>
      <c r="Y54" s="166"/>
    </row>
    <row r="55" spans="2:25" x14ac:dyDescent="0.25">
      <c r="B55" s="1" t="s">
        <v>299</v>
      </c>
      <c r="C55" s="27" t="s">
        <v>300</v>
      </c>
      <c r="D55" s="1" t="s">
        <v>301</v>
      </c>
      <c r="E55" s="1" t="s">
        <v>301</v>
      </c>
      <c r="F55" s="28"/>
      <c r="G55" s="28"/>
      <c r="H55" s="28"/>
      <c r="I55" s="28"/>
      <c r="J55" s="28"/>
      <c r="K55" s="28"/>
      <c r="L55" s="23">
        <v>0.41690321764516097</v>
      </c>
      <c r="M55" s="28">
        <v>21.635000000000002</v>
      </c>
      <c r="N55" s="28">
        <v>0.32500000000000001</v>
      </c>
      <c r="O55" s="28">
        <v>1919.0903775096499</v>
      </c>
      <c r="P55" s="28">
        <v>1129.16052271935</v>
      </c>
      <c r="Q55" s="28">
        <v>53.880272049094899</v>
      </c>
      <c r="R55" s="28">
        <v>16.0294585191204</v>
      </c>
      <c r="S55" s="166"/>
      <c r="T55" s="28"/>
      <c r="U55" s="28"/>
      <c r="V55" s="28"/>
      <c r="W55" s="28"/>
      <c r="X55" s="28"/>
      <c r="Y55" s="166"/>
    </row>
    <row r="56" spans="2:25" x14ac:dyDescent="0.25">
      <c r="B56" s="1" t="s">
        <v>302</v>
      </c>
      <c r="C56" s="27" t="s">
        <v>303</v>
      </c>
      <c r="D56" s="1" t="s">
        <v>304</v>
      </c>
      <c r="E56" s="1" t="s">
        <v>304</v>
      </c>
      <c r="F56" s="28"/>
      <c r="G56" s="28"/>
      <c r="H56" s="28"/>
      <c r="I56" s="28"/>
      <c r="J56" s="28"/>
      <c r="K56" s="28"/>
      <c r="L56" s="23">
        <v>0.26294980458823503</v>
      </c>
      <c r="M56" s="28">
        <v>29.86</v>
      </c>
      <c r="N56" s="28">
        <v>6.85</v>
      </c>
      <c r="O56" s="28">
        <v>1004.8964564717199</v>
      </c>
      <c r="P56" s="28">
        <v>275.64879711298403</v>
      </c>
      <c r="Q56" s="28">
        <v>10.0343245201729</v>
      </c>
      <c r="R56" s="28">
        <v>28.7894119998939</v>
      </c>
      <c r="S56" s="166"/>
      <c r="T56" s="28"/>
      <c r="U56" s="28"/>
      <c r="V56" s="28"/>
      <c r="W56" s="28"/>
      <c r="X56" s="28"/>
      <c r="Y56" s="166"/>
    </row>
    <row r="57" spans="2:25" x14ac:dyDescent="0.25">
      <c r="B57" s="1" t="s">
        <v>305</v>
      </c>
      <c r="C57" s="27" t="s">
        <v>306</v>
      </c>
      <c r="D57" s="1" t="s">
        <v>307</v>
      </c>
      <c r="E57" s="1" t="s">
        <v>307</v>
      </c>
      <c r="J57" s="28"/>
      <c r="K57" s="28"/>
      <c r="L57" s="150">
        <v>0.38252551528439699</v>
      </c>
      <c r="M57" s="28">
        <v>12.94</v>
      </c>
      <c r="N57" s="28">
        <v>126.12</v>
      </c>
      <c r="O57" s="28">
        <v>4054.1552196641901</v>
      </c>
      <c r="P57" s="28">
        <v>1366.1720491715701</v>
      </c>
      <c r="Q57" s="28">
        <v>84.778521515256301</v>
      </c>
      <c r="R57" s="28">
        <v>96.7715242706726</v>
      </c>
      <c r="S57" s="168"/>
      <c r="T57" s="156"/>
      <c r="U57" s="156"/>
      <c r="V57" s="156"/>
      <c r="W57" s="155"/>
      <c r="X57" s="155"/>
      <c r="Y57" s="167"/>
    </row>
    <row r="58" spans="2:25" x14ac:dyDescent="0.25">
      <c r="B58" s="1" t="s">
        <v>308</v>
      </c>
      <c r="C58" s="27" t="s">
        <v>309</v>
      </c>
      <c r="D58" s="1" t="s">
        <v>310</v>
      </c>
      <c r="E58" s="1" t="s">
        <v>311</v>
      </c>
      <c r="F58" s="28"/>
      <c r="G58" s="28"/>
      <c r="H58" s="28"/>
      <c r="I58" s="28"/>
      <c r="J58" s="28"/>
      <c r="K58" s="28"/>
      <c r="L58" s="23">
        <v>0.51315537391014099</v>
      </c>
      <c r="M58" s="28">
        <v>17.488571428571401</v>
      </c>
      <c r="N58" s="28">
        <v>4.95571428571429</v>
      </c>
      <c r="O58" s="28">
        <v>4629.5900362432403</v>
      </c>
      <c r="P58" s="28">
        <v>3045.2158544643898</v>
      </c>
      <c r="Q58" s="28">
        <v>103.601622446115</v>
      </c>
      <c r="R58" s="28">
        <v>42.802677124893201</v>
      </c>
      <c r="S58" s="166"/>
      <c r="T58" s="28"/>
      <c r="U58" s="28"/>
      <c r="V58" s="28"/>
      <c r="W58" s="28"/>
      <c r="X58" s="28"/>
      <c r="Y58" s="166"/>
    </row>
    <row r="59" spans="2:25" ht="15" customHeight="1" x14ac:dyDescent="0.25">
      <c r="B59" s="151"/>
      <c r="D59" s="151"/>
      <c r="E59" s="151"/>
      <c r="F59" s="28"/>
      <c r="G59" s="28"/>
      <c r="H59" s="28"/>
      <c r="I59" s="28"/>
      <c r="J59" s="28"/>
      <c r="K59" s="28"/>
      <c r="L59" s="150"/>
      <c r="M59" s="150"/>
      <c r="N59" s="150"/>
      <c r="O59" s="28"/>
      <c r="P59" s="28"/>
      <c r="Q59" s="28"/>
      <c r="R59" s="28"/>
      <c r="S59" s="20"/>
      <c r="T59" s="28"/>
      <c r="U59" s="28"/>
      <c r="V59" s="28"/>
      <c r="W59" s="28"/>
    </row>
  </sheetData>
  <phoneticPr fontId="38" type="noConversion"/>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
  <sheetViews>
    <sheetView zoomScaleNormal="100" workbookViewId="0"/>
  </sheetViews>
  <sheetFormatPr baseColWidth="10" defaultColWidth="8.5703125" defaultRowHeight="15" customHeight="1" x14ac:dyDescent="0.25"/>
  <cols>
    <col min="1" max="1" width="11.42578125" style="1" customWidth="1"/>
    <col min="2" max="16384" width="8.5703125" style="1"/>
  </cols>
  <sheetData/>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B2:F19"/>
  <sheetViews>
    <sheetView zoomScaleNormal="100" workbookViewId="0"/>
  </sheetViews>
  <sheetFormatPr baseColWidth="10" defaultColWidth="8.5703125" defaultRowHeight="15" customHeight="1" x14ac:dyDescent="0.25"/>
  <cols>
    <col min="1" max="1" width="3.140625" style="1" customWidth="1"/>
    <col min="2" max="3" width="8.5703125" style="1"/>
    <col min="4" max="4" width="28.85546875" style="1" customWidth="1"/>
    <col min="5" max="5" width="17.28515625" style="1" customWidth="1"/>
    <col min="6" max="6" width="15.85546875" style="1" customWidth="1"/>
    <col min="7" max="7" width="11.42578125" style="1" customWidth="1"/>
    <col min="8" max="16384" width="8.5703125" style="1"/>
  </cols>
  <sheetData>
    <row r="2" spans="2:6" x14ac:dyDescent="0.25">
      <c r="B2" s="2" t="s">
        <v>312</v>
      </c>
    </row>
    <row r="3" spans="2:6" x14ac:dyDescent="0.25">
      <c r="B3" s="2"/>
    </row>
    <row r="4" spans="2:6" x14ac:dyDescent="0.25">
      <c r="C4" s="14" t="s">
        <v>313</v>
      </c>
    </row>
    <row r="5" spans="2:6" x14ac:dyDescent="0.25">
      <c r="D5" s="1" t="s">
        <v>314</v>
      </c>
      <c r="E5" s="1" t="s">
        <v>31</v>
      </c>
      <c r="F5" s="11">
        <f>INDEX('Données par OI'!$G$2:$G$58,MATCH(Synthèse!$E$4,'Données par OI'!$C$2:$C$58,0))</f>
        <v>0</v>
      </c>
    </row>
    <row r="6" spans="2:6" x14ac:dyDescent="0.25">
      <c r="D6" s="1" t="s">
        <v>315</v>
      </c>
      <c r="E6" s="1" t="s">
        <v>31</v>
      </c>
      <c r="F6" s="11">
        <f>'Maintenance curative'!E5</f>
        <v>0</v>
      </c>
    </row>
    <row r="8" spans="2:6" x14ac:dyDescent="0.25">
      <c r="E8" s="29" t="s">
        <v>316</v>
      </c>
      <c r="F8" s="29" t="s">
        <v>317</v>
      </c>
    </row>
    <row r="9" spans="2:6" x14ac:dyDescent="0.25">
      <c r="D9" s="1" t="s">
        <v>318</v>
      </c>
      <c r="E9" s="11">
        <f>F5*'Données générales'!F10</f>
        <v>0</v>
      </c>
      <c r="F9" s="6">
        <f>'Données générales'!F9</f>
        <v>150</v>
      </c>
    </row>
    <row r="10" spans="2:6" x14ac:dyDescent="0.25">
      <c r="D10" s="1" t="s">
        <v>319</v>
      </c>
      <c r="E10" s="11">
        <f>F5*'Données générales'!F13</f>
        <v>0</v>
      </c>
      <c r="F10" s="6">
        <f>'Données générales'!F12</f>
        <v>2500</v>
      </c>
    </row>
    <row r="11" spans="2:6" x14ac:dyDescent="0.25">
      <c r="D11" s="1" t="s">
        <v>320</v>
      </c>
      <c r="E11" s="11">
        <f>F6*'Données générales'!F16</f>
        <v>0</v>
      </c>
      <c r="F11" s="6">
        <f>'Données générales'!F15</f>
        <v>80</v>
      </c>
    </row>
    <row r="13" spans="2:6" x14ac:dyDescent="0.25">
      <c r="D13" s="1" t="s">
        <v>321</v>
      </c>
      <c r="E13" s="10" t="s">
        <v>62</v>
      </c>
      <c r="F13" s="30">
        <f>SUMPRODUCT(E9:E11,F9:F11)</f>
        <v>0</v>
      </c>
    </row>
    <row r="15" spans="2:6" x14ac:dyDescent="0.25">
      <c r="C15" s="14" t="s">
        <v>42</v>
      </c>
    </row>
    <row r="16" spans="2:6" x14ac:dyDescent="0.25">
      <c r="D16" s="1" t="s">
        <v>322</v>
      </c>
      <c r="E16" s="10" t="s">
        <v>62</v>
      </c>
      <c r="F16" s="30">
        <f>F13*'Données générales'!F18</f>
        <v>0</v>
      </c>
    </row>
    <row r="18" spans="3:6" x14ac:dyDescent="0.25">
      <c r="C18" s="14" t="s">
        <v>19</v>
      </c>
    </row>
    <row r="19" spans="3:6" x14ac:dyDescent="0.25">
      <c r="D19" s="2" t="s">
        <v>323</v>
      </c>
      <c r="E19" s="2"/>
      <c r="F19" s="31">
        <f>F13+F16</f>
        <v>0</v>
      </c>
    </row>
  </sheetData>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B2:F39"/>
  <sheetViews>
    <sheetView zoomScaleNormal="100" workbookViewId="0"/>
  </sheetViews>
  <sheetFormatPr baseColWidth="10" defaultColWidth="8.5703125" defaultRowHeight="15" customHeight="1" x14ac:dyDescent="0.25"/>
  <cols>
    <col min="1" max="1" width="3.5703125" style="1" customWidth="1"/>
    <col min="2" max="3" width="8.5703125" style="1"/>
    <col min="4" max="4" width="38.85546875" style="1" customWidth="1"/>
    <col min="5" max="5" width="14.28515625" style="1" customWidth="1"/>
    <col min="6" max="6" width="29.5703125" style="1" customWidth="1"/>
    <col min="7" max="10" width="8.5703125" style="1"/>
    <col min="11" max="11" width="11.42578125" style="1" customWidth="1"/>
    <col min="12" max="16384" width="8.5703125" style="1"/>
  </cols>
  <sheetData>
    <row r="2" spans="2:6" x14ac:dyDescent="0.25">
      <c r="B2" s="2" t="s">
        <v>56</v>
      </c>
    </row>
    <row r="4" spans="2:6" x14ac:dyDescent="0.25">
      <c r="D4" s="29" t="s">
        <v>324</v>
      </c>
      <c r="E4" s="29" t="s">
        <v>325</v>
      </c>
      <c r="F4" s="29" t="s">
        <v>326</v>
      </c>
    </row>
    <row r="5" spans="2:6" x14ac:dyDescent="0.25">
      <c r="D5" s="1" t="s">
        <v>105</v>
      </c>
      <c r="E5" s="11">
        <f>INDEX('Données par OI'!$F$2:$F$58,MATCH(Synthèse!$E$4,'Données par OI'!$C$2:$C$58,0))</f>
        <v>0</v>
      </c>
      <c r="F5" s="32">
        <f>'Données générales'!F31</f>
        <v>2.8000000000000001E-2</v>
      </c>
    </row>
    <row r="6" spans="2:6" x14ac:dyDescent="0.25">
      <c r="D6" s="1" t="s">
        <v>109</v>
      </c>
      <c r="E6" s="11">
        <f>INDEX('Données par OI'!$J$2:$J$58,MATCH(Synthèse!$E$4,'Données par OI'!$C$2:$C$58,0))</f>
        <v>0</v>
      </c>
      <c r="F6" s="32">
        <f>'Données générales'!F32</f>
        <v>5.5E-2</v>
      </c>
    </row>
    <row r="7" spans="2:6" x14ac:dyDescent="0.25">
      <c r="D7" s="1" t="s">
        <v>327</v>
      </c>
      <c r="E7" s="11">
        <f>INDEX('Données par OI'!$K$2:$K$58,MATCH(Synthèse!$E$4,'Données par OI'!$C$2:$C$58,0))*INDEX('Données par OI'!$M$2:$M$58,MATCH(Synthèse!$E$4,'Données par OI'!$C$2:$C$58,0))</f>
        <v>0</v>
      </c>
      <c r="F7" s="32">
        <f>'Données générales'!F33</f>
        <v>1.1999999999999999E-3</v>
      </c>
    </row>
    <row r="8" spans="2:6" x14ac:dyDescent="0.25">
      <c r="D8" s="1" t="s">
        <v>328</v>
      </c>
      <c r="E8" s="11">
        <f>INDEX('Données par OI'!$K$2:$K$58,MATCH(Synthèse!$E$4,'Données par OI'!$C$2:$C$58,0))*INDEX('Données par OI'!$N$2:$N$58,MATCH(Synthèse!$E$4,'Données par OI'!$C$2:$C$58,0))</f>
        <v>0</v>
      </c>
      <c r="F8" s="32">
        <f>'Données générales'!F34</f>
        <v>4.0000000000000002E-4</v>
      </c>
    </row>
    <row r="10" spans="2:6" x14ac:dyDescent="0.25">
      <c r="D10" s="2" t="s">
        <v>329</v>
      </c>
      <c r="E10" s="33">
        <f>SUMPRODUCT('Maintenance curative'!E5:E8,'Maintenance curative'!F5:F8)</f>
        <v>0</v>
      </c>
    </row>
    <row r="11" spans="2:6" x14ac:dyDescent="0.25">
      <c r="D11" s="2"/>
      <c r="E11" s="33"/>
    </row>
    <row r="12" spans="2:6" x14ac:dyDescent="0.25">
      <c r="D12" s="2"/>
      <c r="E12" s="33"/>
    </row>
    <row r="13" spans="2:6" x14ac:dyDescent="0.25">
      <c r="B13" s="2" t="s">
        <v>330</v>
      </c>
    </row>
    <row r="15" spans="2:6" x14ac:dyDescent="0.25">
      <c r="D15" s="1" t="s">
        <v>331</v>
      </c>
      <c r="E15" s="10" t="s">
        <v>332</v>
      </c>
      <c r="F15" s="23">
        <f>'Données générales'!F27</f>
        <v>2.5</v>
      </c>
    </row>
    <row r="16" spans="2:6" x14ac:dyDescent="0.25">
      <c r="D16" s="1" t="s">
        <v>333</v>
      </c>
      <c r="E16" s="10" t="s">
        <v>332</v>
      </c>
      <c r="F16" s="23">
        <f>INDEX('Données par OI'!$L$2:$L$58,MATCH(Synthèse!$E$4,'Données par OI'!$C$2:$C$58,0))</f>
        <v>0.43210954190476097</v>
      </c>
    </row>
    <row r="17" spans="2:6" x14ac:dyDescent="0.25">
      <c r="D17" s="1" t="s">
        <v>53</v>
      </c>
      <c r="E17" s="10" t="s">
        <v>54</v>
      </c>
      <c r="F17" s="1">
        <f>'Données générales'!F28</f>
        <v>1.75</v>
      </c>
    </row>
    <row r="19" spans="2:6" x14ac:dyDescent="0.25">
      <c r="D19" s="2" t="s">
        <v>334</v>
      </c>
      <c r="E19" s="29" t="s">
        <v>332</v>
      </c>
      <c r="F19" s="34">
        <f>F17*(F16+(1+'Données générales'!F29)*F15)</f>
        <v>6.0061916983333319</v>
      </c>
    </row>
    <row r="22" spans="2:6" x14ac:dyDescent="0.25">
      <c r="B22" s="2" t="s">
        <v>335</v>
      </c>
    </row>
    <row r="23" spans="2:6" x14ac:dyDescent="0.25">
      <c r="C23" s="14" t="s">
        <v>313</v>
      </c>
    </row>
    <row r="24" spans="2:6" x14ac:dyDescent="0.25">
      <c r="D24" s="1" t="s">
        <v>329</v>
      </c>
      <c r="F24" s="11">
        <f>E10</f>
        <v>0</v>
      </c>
    </row>
    <row r="25" spans="2:6" x14ac:dyDescent="0.25">
      <c r="D25" s="1" t="s">
        <v>334</v>
      </c>
      <c r="F25" s="23">
        <f>F19</f>
        <v>6.0061916983333319</v>
      </c>
    </row>
    <row r="26" spans="2:6" x14ac:dyDescent="0.25">
      <c r="D26" s="1" t="s">
        <v>336</v>
      </c>
      <c r="F26" s="19">
        <f>'Données générales'!F23</f>
        <v>79.250975025552606</v>
      </c>
    </row>
    <row r="28" spans="2:6" x14ac:dyDescent="0.25">
      <c r="D28" s="1" t="s">
        <v>337</v>
      </c>
      <c r="F28" s="30">
        <f>F24*F25*F26</f>
        <v>0</v>
      </c>
    </row>
    <row r="29" spans="2:6" x14ac:dyDescent="0.25">
      <c r="D29" s="1" t="s">
        <v>338</v>
      </c>
      <c r="F29" s="30">
        <f>'Données générales'!F24*'Maintenance curative'!F24</f>
        <v>0</v>
      </c>
    </row>
    <row r="30" spans="2:6" x14ac:dyDescent="0.25">
      <c r="D30" s="1" t="s">
        <v>313</v>
      </c>
      <c r="F30" s="30">
        <f>F28+F29</f>
        <v>0</v>
      </c>
    </row>
    <row r="32" spans="2:6" x14ac:dyDescent="0.25">
      <c r="C32" s="14" t="s">
        <v>42</v>
      </c>
    </row>
    <row r="33" spans="3:6" x14ac:dyDescent="0.25">
      <c r="D33" s="1" t="s">
        <v>61</v>
      </c>
      <c r="F33" s="6">
        <f>'Données générales'!F36*INDEX('Données par OI'!$I$2:$I$58,MATCH(Synthèse!E4,'Données par OI'!$C$2:$C$58,0))/'Données générales'!F4</f>
        <v>0</v>
      </c>
    </row>
    <row r="34" spans="3:6" x14ac:dyDescent="0.25">
      <c r="D34" s="1" t="s">
        <v>462</v>
      </c>
      <c r="F34" s="6">
        <f>E10*'Données générales'!$F$25</f>
        <v>0</v>
      </c>
    </row>
    <row r="35" spans="3:6" x14ac:dyDescent="0.25">
      <c r="D35" s="1" t="s">
        <v>339</v>
      </c>
      <c r="F35" s="6">
        <f>'Données générales'!F37*'Maintenance curative'!F30</f>
        <v>0</v>
      </c>
    </row>
    <row r="36" spans="3:6" x14ac:dyDescent="0.25">
      <c r="D36" s="1" t="s">
        <v>42</v>
      </c>
      <c r="F36" s="6">
        <f>F33+F34+F35</f>
        <v>0</v>
      </c>
    </row>
    <row r="38" spans="3:6" x14ac:dyDescent="0.25">
      <c r="C38" s="14" t="s">
        <v>19</v>
      </c>
    </row>
    <row r="39" spans="3:6" x14ac:dyDescent="0.25">
      <c r="D39" s="2" t="s">
        <v>323</v>
      </c>
      <c r="E39" s="2"/>
      <c r="F39" s="31">
        <f>F30+F36</f>
        <v>0</v>
      </c>
    </row>
  </sheetData>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JG72"/>
  <sheetViews>
    <sheetView zoomScaleNormal="100" workbookViewId="0"/>
  </sheetViews>
  <sheetFormatPr baseColWidth="10" defaultColWidth="8.5703125" defaultRowHeight="15" customHeight="1" x14ac:dyDescent="0.25"/>
  <cols>
    <col min="1" max="1" width="10.85546875" style="151" customWidth="1"/>
    <col min="2" max="2" width="40.7109375" style="151" customWidth="1"/>
    <col min="3" max="3" width="39.140625" style="151" customWidth="1"/>
    <col min="4" max="4" width="20.42578125" customWidth="1"/>
    <col min="5" max="5" width="12.140625" customWidth="1"/>
    <col min="6" max="6" width="10.85546875" customWidth="1"/>
    <col min="30" max="267" width="8.5703125" style="151"/>
  </cols>
  <sheetData>
    <row r="1" spans="1:29" s="151" customFormat="1" ht="15.75" customHeight="1" x14ac:dyDescent="0.25">
      <c r="A1" s="35" t="s">
        <v>340</v>
      </c>
    </row>
    <row r="2" spans="1:29" s="151" customFormat="1" ht="15" customHeight="1" x14ac:dyDescent="0.25"/>
    <row r="3" spans="1:29" s="151" customFormat="1" ht="23.25" customHeight="1" x14ac:dyDescent="0.25">
      <c r="A3" s="169" t="s">
        <v>341</v>
      </c>
    </row>
    <row r="4" spans="1:29" s="151" customFormat="1" ht="13.5" customHeight="1" x14ac:dyDescent="0.25"/>
    <row r="5" spans="1:29" s="151" customFormat="1" ht="30" customHeight="1" x14ac:dyDescent="0.25">
      <c r="B5" s="36" t="s">
        <v>342</v>
      </c>
      <c r="C5" s="37" t="s">
        <v>27</v>
      </c>
      <c r="D5" s="38" t="s">
        <v>343</v>
      </c>
    </row>
    <row r="6" spans="1:29" s="151" customFormat="1" ht="22.5" customHeight="1" x14ac:dyDescent="0.25">
      <c r="B6" s="39" t="s">
        <v>344</v>
      </c>
      <c r="C6" s="40" t="s">
        <v>345</v>
      </c>
      <c r="D6" s="41">
        <v>1.395</v>
      </c>
    </row>
    <row r="7" spans="1:29" s="151" customFormat="1" ht="22.5" customHeight="1" x14ac:dyDescent="0.25">
      <c r="B7" s="42" t="s">
        <v>346</v>
      </c>
      <c r="C7" s="43" t="s">
        <v>347</v>
      </c>
      <c r="D7" s="44">
        <v>6.7000000000000004E-2</v>
      </c>
    </row>
    <row r="8" spans="1:29" s="151" customFormat="1" ht="13.5" customHeight="1" x14ac:dyDescent="0.25">
      <c r="B8" s="45"/>
      <c r="C8" s="45"/>
      <c r="D8" s="45"/>
    </row>
    <row r="9" spans="1:29" s="151" customFormat="1" ht="30" customHeight="1" x14ac:dyDescent="0.25">
      <c r="B9" s="46" t="s">
        <v>348</v>
      </c>
      <c r="C9" s="47" t="s">
        <v>27</v>
      </c>
      <c r="D9" s="38" t="s">
        <v>28</v>
      </c>
    </row>
    <row r="10" spans="1:29" ht="25.5" customHeight="1" x14ac:dyDescent="0.25">
      <c r="B10" s="48" t="s">
        <v>349</v>
      </c>
      <c r="C10" s="40" t="s">
        <v>55</v>
      </c>
      <c r="D10" s="49">
        <v>1.4999999999999999E-2</v>
      </c>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row>
    <row r="11" spans="1:29" ht="28.5" customHeight="1" x14ac:dyDescent="0.25">
      <c r="B11" s="50" t="s">
        <v>350</v>
      </c>
      <c r="C11" s="51" t="s">
        <v>351</v>
      </c>
      <c r="D11" s="52"/>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row>
    <row r="12" spans="1:29" ht="28.5" customHeight="1" x14ac:dyDescent="0.25">
      <c r="B12" s="50" t="s">
        <v>352</v>
      </c>
      <c r="C12" s="51" t="s">
        <v>351</v>
      </c>
      <c r="D12" s="52"/>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row>
    <row r="13" spans="1:29" ht="28.5" customHeight="1" x14ac:dyDescent="0.25">
      <c r="B13" s="53" t="s">
        <v>353</v>
      </c>
      <c r="C13" s="54" t="s">
        <v>354</v>
      </c>
      <c r="D13" s="55">
        <v>2026</v>
      </c>
      <c r="E13" s="151"/>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151"/>
    </row>
    <row r="14" spans="1:29" ht="15" customHeight="1" x14ac:dyDescent="0.25">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row>
    <row r="15" spans="1:29" ht="15.75" customHeight="1" x14ac:dyDescent="0.25">
      <c r="C15" s="56" t="s">
        <v>355</v>
      </c>
      <c r="D15" s="56" t="s">
        <v>356</v>
      </c>
      <c r="E15" s="56">
        <v>2026</v>
      </c>
      <c r="F15" s="56">
        <v>2027</v>
      </c>
      <c r="G15" s="56">
        <v>2028</v>
      </c>
      <c r="H15" s="56">
        <v>2029</v>
      </c>
      <c r="I15" s="56">
        <v>2030</v>
      </c>
      <c r="J15" s="56">
        <v>2031</v>
      </c>
      <c r="K15" s="56">
        <v>2032</v>
      </c>
      <c r="L15" s="56">
        <v>2033</v>
      </c>
      <c r="M15" s="56">
        <v>2034</v>
      </c>
      <c r="N15" s="56">
        <v>2035</v>
      </c>
      <c r="O15" s="56">
        <v>2036</v>
      </c>
      <c r="P15" s="56">
        <v>2037</v>
      </c>
      <c r="Q15" s="56">
        <v>2038</v>
      </c>
      <c r="R15" s="56">
        <v>2039</v>
      </c>
      <c r="S15" s="56">
        <v>2040</v>
      </c>
      <c r="T15" s="56">
        <v>2041</v>
      </c>
      <c r="U15" s="56">
        <v>2042</v>
      </c>
      <c r="V15" s="56">
        <v>2043</v>
      </c>
      <c r="W15" s="56">
        <v>2044</v>
      </c>
      <c r="X15" s="56">
        <v>2045</v>
      </c>
      <c r="Y15" s="56">
        <v>2046</v>
      </c>
      <c r="Z15" s="56">
        <v>2047</v>
      </c>
      <c r="AA15" s="56">
        <v>2048</v>
      </c>
      <c r="AB15" s="56">
        <v>2049</v>
      </c>
      <c r="AC15" s="56">
        <v>2050</v>
      </c>
    </row>
    <row r="16" spans="1:29" ht="15" customHeight="1" x14ac:dyDescent="0.25">
      <c r="C16" s="57" t="s">
        <v>357</v>
      </c>
      <c r="D16" s="57" t="s">
        <v>351</v>
      </c>
      <c r="E16" s="58"/>
      <c r="F16" s="59"/>
      <c r="G16" s="59"/>
      <c r="H16" s="59"/>
      <c r="I16" s="59"/>
      <c r="J16" s="59"/>
      <c r="K16" s="59"/>
      <c r="L16" s="59"/>
      <c r="M16" s="59"/>
      <c r="N16" s="59"/>
      <c r="O16" s="59"/>
      <c r="P16" s="59"/>
      <c r="Q16" s="59"/>
      <c r="R16" s="59"/>
      <c r="S16" s="59"/>
      <c r="T16" s="59"/>
      <c r="U16" s="59"/>
      <c r="V16" s="59"/>
      <c r="W16" s="59"/>
      <c r="X16" s="59"/>
      <c r="Y16" s="59"/>
      <c r="Z16" s="59"/>
      <c r="AA16" s="59"/>
      <c r="AB16" s="59"/>
      <c r="AC16" s="60"/>
    </row>
    <row r="17" spans="1:29" s="151" customFormat="1" ht="15.75" customHeight="1" x14ac:dyDescent="0.25">
      <c r="C17" s="61" t="s">
        <v>358</v>
      </c>
      <c r="D17" s="61" t="s">
        <v>359</v>
      </c>
      <c r="E17" s="62">
        <v>1</v>
      </c>
      <c r="F17" s="63">
        <f t="shared" ref="F17:AC17" si="0">E17*(1+E16)^(6/12)*(1+F16)^(6/12)</f>
        <v>1</v>
      </c>
      <c r="G17" s="63">
        <f t="shared" si="0"/>
        <v>1</v>
      </c>
      <c r="H17" s="63">
        <f t="shared" si="0"/>
        <v>1</v>
      </c>
      <c r="I17" s="63">
        <f t="shared" si="0"/>
        <v>1</v>
      </c>
      <c r="J17" s="63">
        <f t="shared" si="0"/>
        <v>1</v>
      </c>
      <c r="K17" s="63">
        <f t="shared" si="0"/>
        <v>1</v>
      </c>
      <c r="L17" s="63">
        <f t="shared" si="0"/>
        <v>1</v>
      </c>
      <c r="M17" s="63">
        <f t="shared" si="0"/>
        <v>1</v>
      </c>
      <c r="N17" s="63">
        <f t="shared" si="0"/>
        <v>1</v>
      </c>
      <c r="O17" s="63">
        <f t="shared" si="0"/>
        <v>1</v>
      </c>
      <c r="P17" s="63">
        <f t="shared" si="0"/>
        <v>1</v>
      </c>
      <c r="Q17" s="63">
        <f t="shared" si="0"/>
        <v>1</v>
      </c>
      <c r="R17" s="63">
        <f t="shared" si="0"/>
        <v>1</v>
      </c>
      <c r="S17" s="63">
        <f t="shared" si="0"/>
        <v>1</v>
      </c>
      <c r="T17" s="63">
        <f t="shared" si="0"/>
        <v>1</v>
      </c>
      <c r="U17" s="63">
        <f t="shared" si="0"/>
        <v>1</v>
      </c>
      <c r="V17" s="63">
        <f t="shared" si="0"/>
        <v>1</v>
      </c>
      <c r="W17" s="63">
        <f t="shared" si="0"/>
        <v>1</v>
      </c>
      <c r="X17" s="63">
        <f t="shared" si="0"/>
        <v>1</v>
      </c>
      <c r="Y17" s="63">
        <f t="shared" si="0"/>
        <v>1</v>
      </c>
      <c r="Z17" s="63">
        <f t="shared" si="0"/>
        <v>1</v>
      </c>
      <c r="AA17" s="63">
        <f t="shared" si="0"/>
        <v>1</v>
      </c>
      <c r="AB17" s="63">
        <f t="shared" si="0"/>
        <v>1</v>
      </c>
      <c r="AC17" s="64">
        <f t="shared" si="0"/>
        <v>1</v>
      </c>
    </row>
    <row r="18" spans="1:29" s="151" customFormat="1" ht="15" customHeight="1" x14ac:dyDescent="0.25"/>
    <row r="19" spans="1:29" s="151" customFormat="1" x14ac:dyDescent="0.25">
      <c r="C19" s="65"/>
      <c r="E19" s="66">
        <v>2026</v>
      </c>
      <c r="F19" s="66">
        <v>2027</v>
      </c>
      <c r="G19" s="66">
        <v>2028</v>
      </c>
      <c r="H19" s="66">
        <v>2029</v>
      </c>
      <c r="I19" s="66">
        <v>2030</v>
      </c>
      <c r="J19" s="66">
        <v>2031</v>
      </c>
      <c r="K19" s="66">
        <v>2032</v>
      </c>
      <c r="L19" s="66">
        <v>2033</v>
      </c>
      <c r="M19" s="66">
        <v>2034</v>
      </c>
      <c r="N19" s="66">
        <v>2035</v>
      </c>
      <c r="O19" s="66">
        <v>2036</v>
      </c>
      <c r="P19" s="66">
        <v>2037</v>
      </c>
      <c r="Q19" s="66">
        <v>2038</v>
      </c>
      <c r="R19" s="66">
        <v>2039</v>
      </c>
      <c r="S19" s="66">
        <v>2040</v>
      </c>
      <c r="T19" s="66">
        <v>2041</v>
      </c>
      <c r="U19" s="66">
        <v>2042</v>
      </c>
      <c r="V19" s="66">
        <v>2043</v>
      </c>
      <c r="W19" s="66">
        <v>2044</v>
      </c>
      <c r="X19" s="66">
        <v>2045</v>
      </c>
      <c r="Y19" s="66">
        <v>2046</v>
      </c>
      <c r="Z19" s="66">
        <v>2047</v>
      </c>
      <c r="AA19" s="66">
        <v>2048</v>
      </c>
      <c r="AB19" s="66">
        <v>2049</v>
      </c>
      <c r="AC19" s="66">
        <v>2050</v>
      </c>
    </row>
    <row r="20" spans="1:29" s="151" customFormat="1" ht="15" customHeight="1" x14ac:dyDescent="0.25">
      <c r="D20" s="67" t="s">
        <v>360</v>
      </c>
      <c r="E20" s="68">
        <v>118</v>
      </c>
      <c r="F20" s="68">
        <v>117.2</v>
      </c>
      <c r="G20" s="68">
        <v>115.2</v>
      </c>
      <c r="H20" s="68">
        <v>112.5</v>
      </c>
      <c r="I20" s="68">
        <v>109.9</v>
      </c>
      <c r="J20" s="68">
        <v>107.6</v>
      </c>
      <c r="K20" s="68">
        <v>105.8</v>
      </c>
      <c r="L20" s="68">
        <v>104.4</v>
      </c>
      <c r="M20" s="68">
        <v>103.1</v>
      </c>
      <c r="N20" s="68">
        <v>101.7</v>
      </c>
      <c r="O20" s="68">
        <v>99.9</v>
      </c>
      <c r="P20" s="68">
        <v>98.2</v>
      </c>
      <c r="Q20" s="68">
        <v>97</v>
      </c>
      <c r="R20" s="68">
        <v>95.9</v>
      </c>
      <c r="S20" s="68">
        <v>94.5</v>
      </c>
      <c r="T20" s="68">
        <v>93</v>
      </c>
      <c r="U20" s="68">
        <v>91.6</v>
      </c>
      <c r="V20" s="68">
        <v>90.5</v>
      </c>
      <c r="W20" s="68">
        <v>89.5</v>
      </c>
      <c r="X20" s="68">
        <v>88.1</v>
      </c>
      <c r="Y20" s="68">
        <v>86.7</v>
      </c>
      <c r="Z20" s="68">
        <v>85.8</v>
      </c>
      <c r="AA20" s="68">
        <v>85.1</v>
      </c>
      <c r="AB20" s="68">
        <v>84.5</v>
      </c>
      <c r="AC20" s="68">
        <v>84</v>
      </c>
    </row>
    <row r="21" spans="1:29" s="151" customFormat="1" x14ac:dyDescent="0.25">
      <c r="D21" s="69" t="s">
        <v>361</v>
      </c>
      <c r="E21" s="68">
        <f t="shared" ref="E21:AC21" si="1">E20/$E$20*100</f>
        <v>100</v>
      </c>
      <c r="F21" s="68">
        <f t="shared" si="1"/>
        <v>99.322033898305079</v>
      </c>
      <c r="G21" s="68">
        <f t="shared" si="1"/>
        <v>97.627118644067806</v>
      </c>
      <c r="H21" s="68">
        <f t="shared" si="1"/>
        <v>95.33898305084746</v>
      </c>
      <c r="I21" s="68">
        <f t="shared" si="1"/>
        <v>93.13559322033899</v>
      </c>
      <c r="J21" s="68">
        <f t="shared" si="1"/>
        <v>91.18644067796609</v>
      </c>
      <c r="K21" s="68">
        <f t="shared" si="1"/>
        <v>89.66101694915254</v>
      </c>
      <c r="L21" s="68">
        <f t="shared" si="1"/>
        <v>88.47457627118645</v>
      </c>
      <c r="M21" s="68">
        <f t="shared" si="1"/>
        <v>87.372881355932194</v>
      </c>
      <c r="N21" s="68">
        <f t="shared" si="1"/>
        <v>86.186440677966104</v>
      </c>
      <c r="O21" s="68">
        <f t="shared" si="1"/>
        <v>84.66101694915254</v>
      </c>
      <c r="P21" s="68">
        <f t="shared" si="1"/>
        <v>83.220338983050851</v>
      </c>
      <c r="Q21" s="68">
        <f t="shared" si="1"/>
        <v>82.203389830508485</v>
      </c>
      <c r="R21" s="68">
        <f t="shared" si="1"/>
        <v>81.271186440677965</v>
      </c>
      <c r="S21" s="68">
        <f t="shared" si="1"/>
        <v>80.084745762711862</v>
      </c>
      <c r="T21" s="68">
        <f t="shared" si="1"/>
        <v>78.813559322033896</v>
      </c>
      <c r="U21" s="68">
        <f t="shared" si="1"/>
        <v>77.627118644067792</v>
      </c>
      <c r="V21" s="68">
        <f t="shared" si="1"/>
        <v>76.694915254237287</v>
      </c>
      <c r="W21" s="68">
        <f t="shared" si="1"/>
        <v>75.847457627118644</v>
      </c>
      <c r="X21" s="68">
        <f t="shared" si="1"/>
        <v>74.66101694915254</v>
      </c>
      <c r="Y21" s="68">
        <f t="shared" si="1"/>
        <v>73.474576271186436</v>
      </c>
      <c r="Z21" s="68">
        <f t="shared" si="1"/>
        <v>72.711864406779654</v>
      </c>
      <c r="AA21" s="68">
        <f t="shared" si="1"/>
        <v>72.118644067796595</v>
      </c>
      <c r="AB21" s="68">
        <f t="shared" si="1"/>
        <v>71.610169491525426</v>
      </c>
      <c r="AC21" s="68">
        <f t="shared" si="1"/>
        <v>71.186440677966104</v>
      </c>
    </row>
    <row r="22" spans="1:29" s="151" customFormat="1" x14ac:dyDescent="0.25">
      <c r="D22" s="69" t="s">
        <v>362</v>
      </c>
      <c r="E22" s="70">
        <f t="shared" ref="E22:AC22" si="2">E17</f>
        <v>1</v>
      </c>
      <c r="F22" s="70">
        <f t="shared" si="2"/>
        <v>1</v>
      </c>
      <c r="G22" s="70">
        <f t="shared" si="2"/>
        <v>1</v>
      </c>
      <c r="H22" s="70">
        <f t="shared" si="2"/>
        <v>1</v>
      </c>
      <c r="I22" s="70">
        <f t="shared" si="2"/>
        <v>1</v>
      </c>
      <c r="J22" s="70">
        <f t="shared" si="2"/>
        <v>1</v>
      </c>
      <c r="K22" s="70">
        <f t="shared" si="2"/>
        <v>1</v>
      </c>
      <c r="L22" s="70">
        <f t="shared" si="2"/>
        <v>1</v>
      </c>
      <c r="M22" s="70">
        <f t="shared" si="2"/>
        <v>1</v>
      </c>
      <c r="N22" s="70">
        <f t="shared" si="2"/>
        <v>1</v>
      </c>
      <c r="O22" s="70">
        <f t="shared" si="2"/>
        <v>1</v>
      </c>
      <c r="P22" s="70">
        <f t="shared" si="2"/>
        <v>1</v>
      </c>
      <c r="Q22" s="70">
        <f t="shared" si="2"/>
        <v>1</v>
      </c>
      <c r="R22" s="70">
        <f t="shared" si="2"/>
        <v>1</v>
      </c>
      <c r="S22" s="70">
        <f t="shared" si="2"/>
        <v>1</v>
      </c>
      <c r="T22" s="70">
        <f t="shared" si="2"/>
        <v>1</v>
      </c>
      <c r="U22" s="70">
        <f t="shared" si="2"/>
        <v>1</v>
      </c>
      <c r="V22" s="70">
        <f t="shared" si="2"/>
        <v>1</v>
      </c>
      <c r="W22" s="70">
        <f t="shared" si="2"/>
        <v>1</v>
      </c>
      <c r="X22" s="70">
        <f t="shared" si="2"/>
        <v>1</v>
      </c>
      <c r="Y22" s="70">
        <f t="shared" si="2"/>
        <v>1</v>
      </c>
      <c r="Z22" s="70">
        <f t="shared" si="2"/>
        <v>1</v>
      </c>
      <c r="AA22" s="70">
        <f t="shared" si="2"/>
        <v>1</v>
      </c>
      <c r="AB22" s="70">
        <f t="shared" si="2"/>
        <v>1</v>
      </c>
      <c r="AC22" s="70">
        <f t="shared" si="2"/>
        <v>1</v>
      </c>
    </row>
    <row r="23" spans="1:29" s="151" customFormat="1" x14ac:dyDescent="0.25">
      <c r="D23" s="69" t="s">
        <v>363</v>
      </c>
      <c r="E23" s="70">
        <f t="shared" ref="E23:AC23" si="3">E21*E22</f>
        <v>100</v>
      </c>
      <c r="F23" s="70">
        <f t="shared" si="3"/>
        <v>99.322033898305079</v>
      </c>
      <c r="G23" s="70">
        <f t="shared" si="3"/>
        <v>97.627118644067806</v>
      </c>
      <c r="H23" s="70">
        <f t="shared" si="3"/>
        <v>95.33898305084746</v>
      </c>
      <c r="I23" s="70">
        <f t="shared" si="3"/>
        <v>93.13559322033899</v>
      </c>
      <c r="J23" s="68">
        <f t="shared" si="3"/>
        <v>91.18644067796609</v>
      </c>
      <c r="K23" s="68">
        <f t="shared" si="3"/>
        <v>89.66101694915254</v>
      </c>
      <c r="L23" s="68">
        <f t="shared" si="3"/>
        <v>88.47457627118645</v>
      </c>
      <c r="M23" s="68">
        <f t="shared" si="3"/>
        <v>87.372881355932194</v>
      </c>
      <c r="N23" s="68">
        <f t="shared" si="3"/>
        <v>86.186440677966104</v>
      </c>
      <c r="O23" s="68">
        <f t="shared" si="3"/>
        <v>84.66101694915254</v>
      </c>
      <c r="P23" s="68">
        <f t="shared" si="3"/>
        <v>83.220338983050851</v>
      </c>
      <c r="Q23" s="68">
        <f t="shared" si="3"/>
        <v>82.203389830508485</v>
      </c>
      <c r="R23" s="68">
        <f t="shared" si="3"/>
        <v>81.271186440677965</v>
      </c>
      <c r="S23" s="68">
        <f t="shared" si="3"/>
        <v>80.084745762711862</v>
      </c>
      <c r="T23" s="68">
        <f t="shared" si="3"/>
        <v>78.813559322033896</v>
      </c>
      <c r="U23" s="68">
        <f t="shared" si="3"/>
        <v>77.627118644067792</v>
      </c>
      <c r="V23" s="68">
        <f t="shared" si="3"/>
        <v>76.694915254237287</v>
      </c>
      <c r="W23" s="68">
        <f t="shared" si="3"/>
        <v>75.847457627118644</v>
      </c>
      <c r="X23" s="68">
        <f t="shared" si="3"/>
        <v>74.66101694915254</v>
      </c>
      <c r="Y23" s="68">
        <f t="shared" si="3"/>
        <v>73.474576271186436</v>
      </c>
      <c r="Z23" s="68">
        <f t="shared" si="3"/>
        <v>72.711864406779654</v>
      </c>
      <c r="AA23" s="68">
        <f t="shared" si="3"/>
        <v>72.118644067796595</v>
      </c>
      <c r="AB23" s="68">
        <f t="shared" si="3"/>
        <v>71.610169491525426</v>
      </c>
      <c r="AC23" s="68">
        <f t="shared" si="3"/>
        <v>71.186440677966104</v>
      </c>
    </row>
    <row r="24" spans="1:29" s="151" customFormat="1" ht="15" customHeight="1" x14ac:dyDescent="0.25"/>
    <row r="25" spans="1:29" s="151" customFormat="1" ht="15.75" customHeight="1" x14ac:dyDescent="0.25">
      <c r="A25" s="71" t="s">
        <v>364</v>
      </c>
      <c r="B25" s="72"/>
    </row>
    <row r="26" spans="1:29" s="151" customFormat="1" x14ac:dyDescent="0.25">
      <c r="A26" s="73" t="s">
        <v>365</v>
      </c>
    </row>
    <row r="27" spans="1:29" x14ac:dyDescent="0.25">
      <c r="A27" s="74"/>
      <c r="B27" s="74" t="s">
        <v>366</v>
      </c>
      <c r="C27" s="74" t="s">
        <v>367</v>
      </c>
      <c r="D27" s="74" t="s">
        <v>27</v>
      </c>
      <c r="E27" s="66">
        <v>2026</v>
      </c>
      <c r="F27" s="66">
        <v>2027</v>
      </c>
      <c r="G27" s="66">
        <v>2028</v>
      </c>
      <c r="H27" s="66">
        <v>2029</v>
      </c>
      <c r="I27" s="66">
        <v>2030</v>
      </c>
      <c r="J27" s="66">
        <v>2031</v>
      </c>
      <c r="K27" s="66">
        <v>2032</v>
      </c>
      <c r="L27" s="66">
        <v>2033</v>
      </c>
      <c r="M27" s="66">
        <v>2034</v>
      </c>
      <c r="N27" s="66">
        <v>2035</v>
      </c>
      <c r="O27" s="66">
        <v>2036</v>
      </c>
      <c r="P27" s="66">
        <v>2037</v>
      </c>
      <c r="Q27" s="66">
        <v>2038</v>
      </c>
      <c r="R27" s="66">
        <v>2039</v>
      </c>
      <c r="S27" s="66">
        <v>2040</v>
      </c>
      <c r="T27" s="66">
        <v>2041</v>
      </c>
      <c r="U27" s="66">
        <v>2042</v>
      </c>
      <c r="V27" s="66">
        <v>2043</v>
      </c>
      <c r="W27" s="66">
        <v>2044</v>
      </c>
      <c r="X27" s="66">
        <v>2045</v>
      </c>
      <c r="Y27" s="66">
        <v>2046</v>
      </c>
      <c r="Z27" s="66">
        <v>2047</v>
      </c>
      <c r="AA27" s="66">
        <v>2048</v>
      </c>
      <c r="AB27" s="66">
        <v>2049</v>
      </c>
      <c r="AC27" s="66">
        <v>2050</v>
      </c>
    </row>
    <row r="28" spans="1:29" ht="28.5" customHeight="1" x14ac:dyDescent="0.25">
      <c r="A28" s="45"/>
      <c r="B28" s="75" t="s">
        <v>368</v>
      </c>
      <c r="C28" s="76" t="s">
        <v>369</v>
      </c>
      <c r="D28" s="76" t="s">
        <v>370</v>
      </c>
      <c r="E28" s="77">
        <f t="shared" ref="E28:AC28" si="4">E23</f>
        <v>100</v>
      </c>
      <c r="F28" s="77">
        <f t="shared" si="4"/>
        <v>99.322033898305079</v>
      </c>
      <c r="G28" s="77">
        <f t="shared" si="4"/>
        <v>97.627118644067806</v>
      </c>
      <c r="H28" s="77">
        <f t="shared" si="4"/>
        <v>95.33898305084746</v>
      </c>
      <c r="I28" s="77">
        <f t="shared" si="4"/>
        <v>93.13559322033899</v>
      </c>
      <c r="J28" s="77">
        <f t="shared" si="4"/>
        <v>91.18644067796609</v>
      </c>
      <c r="K28" s="77">
        <f t="shared" si="4"/>
        <v>89.66101694915254</v>
      </c>
      <c r="L28" s="77">
        <f t="shared" si="4"/>
        <v>88.47457627118645</v>
      </c>
      <c r="M28" s="77">
        <f t="shared" si="4"/>
        <v>87.372881355932194</v>
      </c>
      <c r="N28" s="77">
        <f t="shared" si="4"/>
        <v>86.186440677966104</v>
      </c>
      <c r="O28" s="77">
        <f t="shared" si="4"/>
        <v>84.66101694915254</v>
      </c>
      <c r="P28" s="77">
        <f t="shared" si="4"/>
        <v>83.220338983050851</v>
      </c>
      <c r="Q28" s="77">
        <f t="shared" si="4"/>
        <v>82.203389830508485</v>
      </c>
      <c r="R28" s="77">
        <f t="shared" si="4"/>
        <v>81.271186440677965</v>
      </c>
      <c r="S28" s="77">
        <f t="shared" si="4"/>
        <v>80.084745762711862</v>
      </c>
      <c r="T28" s="77">
        <f t="shared" si="4"/>
        <v>78.813559322033896</v>
      </c>
      <c r="U28" s="77">
        <f t="shared" si="4"/>
        <v>77.627118644067792</v>
      </c>
      <c r="V28" s="77">
        <f t="shared" si="4"/>
        <v>76.694915254237287</v>
      </c>
      <c r="W28" s="77">
        <f t="shared" si="4"/>
        <v>75.847457627118644</v>
      </c>
      <c r="X28" s="77">
        <f t="shared" si="4"/>
        <v>74.66101694915254</v>
      </c>
      <c r="Y28" s="77">
        <f t="shared" si="4"/>
        <v>73.474576271186436</v>
      </c>
      <c r="Z28" s="77">
        <f t="shared" si="4"/>
        <v>72.711864406779654</v>
      </c>
      <c r="AA28" s="77">
        <f t="shared" si="4"/>
        <v>72.118644067796595</v>
      </c>
      <c r="AB28" s="77">
        <f t="shared" si="4"/>
        <v>71.610169491525426</v>
      </c>
      <c r="AC28" s="77">
        <f t="shared" si="4"/>
        <v>71.186440677966104</v>
      </c>
    </row>
    <row r="29" spans="1:29" ht="28.5" customHeight="1" x14ac:dyDescent="0.25">
      <c r="A29" s="45"/>
      <c r="B29" s="75" t="s">
        <v>371</v>
      </c>
      <c r="C29" s="76" t="s">
        <v>372</v>
      </c>
      <c r="D29" s="76" t="s">
        <v>370</v>
      </c>
      <c r="E29" s="78">
        <v>100</v>
      </c>
      <c r="F29" s="79"/>
      <c r="G29" s="79"/>
      <c r="H29" s="79"/>
      <c r="I29" s="79"/>
      <c r="J29" s="79"/>
      <c r="K29" s="79"/>
      <c r="L29" s="79"/>
      <c r="M29" s="79"/>
      <c r="N29" s="79"/>
      <c r="O29" s="79"/>
      <c r="P29" s="79"/>
      <c r="Q29" s="79"/>
      <c r="R29" s="79"/>
      <c r="S29" s="79"/>
      <c r="T29" s="79"/>
      <c r="U29" s="79"/>
      <c r="V29" s="79"/>
      <c r="W29" s="79"/>
      <c r="X29" s="79"/>
      <c r="Y29" s="79"/>
      <c r="Z29" s="79"/>
      <c r="AA29" s="79"/>
      <c r="AB29" s="79"/>
      <c r="AC29" s="79"/>
    </row>
    <row r="30" spans="1:29" ht="28.5" customHeight="1" x14ac:dyDescent="0.25">
      <c r="A30" s="45"/>
      <c r="B30" s="75" t="s">
        <v>373</v>
      </c>
      <c r="C30" s="76" t="s">
        <v>374</v>
      </c>
      <c r="D30" s="76" t="s">
        <v>370</v>
      </c>
      <c r="E30" s="80">
        <f t="shared" ref="E30:AC30" si="5">E28*$D$10</f>
        <v>1.5</v>
      </c>
      <c r="F30" s="80">
        <f t="shared" si="5"/>
        <v>1.4898305084745762</v>
      </c>
      <c r="G30" s="80">
        <f t="shared" si="5"/>
        <v>1.464406779661017</v>
      </c>
      <c r="H30" s="80">
        <f t="shared" si="5"/>
        <v>1.4300847457627119</v>
      </c>
      <c r="I30" s="80">
        <f t="shared" si="5"/>
        <v>1.3970338983050847</v>
      </c>
      <c r="J30" s="80">
        <f t="shared" si="5"/>
        <v>1.3677966101694914</v>
      </c>
      <c r="K30" s="80">
        <f t="shared" si="5"/>
        <v>1.344915254237288</v>
      </c>
      <c r="L30" s="80">
        <f t="shared" si="5"/>
        <v>1.3271186440677967</v>
      </c>
      <c r="M30" s="80">
        <f t="shared" si="5"/>
        <v>1.310593220338983</v>
      </c>
      <c r="N30" s="80">
        <f t="shared" si="5"/>
        <v>1.2927966101694914</v>
      </c>
      <c r="O30" s="80">
        <f t="shared" si="5"/>
        <v>1.269915254237288</v>
      </c>
      <c r="P30" s="80">
        <f t="shared" si="5"/>
        <v>1.2483050847457626</v>
      </c>
      <c r="Q30" s="80">
        <f t="shared" si="5"/>
        <v>1.2330508474576272</v>
      </c>
      <c r="R30" s="80">
        <f t="shared" si="5"/>
        <v>1.2190677966101695</v>
      </c>
      <c r="S30" s="80">
        <f t="shared" si="5"/>
        <v>1.201271186440678</v>
      </c>
      <c r="T30" s="80">
        <f t="shared" si="5"/>
        <v>1.1822033898305084</v>
      </c>
      <c r="U30" s="80">
        <f t="shared" si="5"/>
        <v>1.1644067796610169</v>
      </c>
      <c r="V30" s="80">
        <f t="shared" si="5"/>
        <v>1.1504237288135593</v>
      </c>
      <c r="W30" s="80">
        <f t="shared" si="5"/>
        <v>1.1377118644067796</v>
      </c>
      <c r="X30" s="80">
        <f t="shared" si="5"/>
        <v>1.1199152542372881</v>
      </c>
      <c r="Y30" s="80">
        <f t="shared" si="5"/>
        <v>1.1021186440677966</v>
      </c>
      <c r="Z30" s="80">
        <f t="shared" si="5"/>
        <v>1.0906779661016948</v>
      </c>
      <c r="AA30" s="80">
        <f t="shared" si="5"/>
        <v>1.0817796610169488</v>
      </c>
      <c r="AB30" s="80">
        <f t="shared" si="5"/>
        <v>1.0741525423728813</v>
      </c>
      <c r="AC30" s="80">
        <f t="shared" si="5"/>
        <v>1.0677966101694916</v>
      </c>
    </row>
    <row r="31" spans="1:29" ht="28.5" customHeight="1" x14ac:dyDescent="0.25">
      <c r="A31" s="45"/>
      <c r="B31" s="75" t="s">
        <v>375</v>
      </c>
      <c r="C31" s="76" t="s">
        <v>376</v>
      </c>
      <c r="D31" s="76" t="s">
        <v>370</v>
      </c>
      <c r="E31" s="78">
        <v>100</v>
      </c>
      <c r="F31" s="79"/>
      <c r="G31" s="79"/>
      <c r="H31" s="79"/>
      <c r="I31" s="79"/>
      <c r="J31" s="79"/>
      <c r="K31" s="79"/>
      <c r="L31" s="79"/>
      <c r="M31" s="79"/>
      <c r="N31" s="79"/>
      <c r="O31" s="79"/>
      <c r="P31" s="79"/>
      <c r="Q31" s="79"/>
      <c r="R31" s="79"/>
      <c r="S31" s="79"/>
      <c r="T31" s="79"/>
      <c r="U31" s="79"/>
      <c r="V31" s="79"/>
      <c r="W31" s="79"/>
      <c r="X31" s="79"/>
      <c r="Y31" s="79"/>
      <c r="Z31" s="79"/>
      <c r="AA31" s="79"/>
      <c r="AB31" s="79"/>
      <c r="AC31" s="79"/>
    </row>
    <row r="32" spans="1:29" ht="28.5" customHeight="1" x14ac:dyDescent="0.25">
      <c r="A32" s="45"/>
      <c r="B32" s="75" t="s">
        <v>377</v>
      </c>
      <c r="C32" s="76" t="s">
        <v>378</v>
      </c>
      <c r="D32" s="76" t="s">
        <v>370</v>
      </c>
      <c r="E32" s="78">
        <v>100</v>
      </c>
      <c r="F32" s="79"/>
      <c r="G32" s="79"/>
      <c r="H32" s="79"/>
      <c r="I32" s="79"/>
      <c r="J32" s="79"/>
      <c r="K32" s="79"/>
      <c r="L32" s="79"/>
      <c r="M32" s="79"/>
      <c r="N32" s="79"/>
      <c r="O32" s="79"/>
      <c r="P32" s="79"/>
      <c r="Q32" s="79"/>
      <c r="R32" s="79"/>
      <c r="S32" s="79"/>
      <c r="T32" s="79"/>
      <c r="U32" s="79"/>
      <c r="V32" s="79"/>
      <c r="W32" s="79"/>
      <c r="X32" s="79"/>
      <c r="Y32" s="79"/>
      <c r="Z32" s="79"/>
      <c r="AA32" s="79"/>
      <c r="AB32" s="79"/>
      <c r="AC32" s="79"/>
    </row>
    <row r="33" spans="1:29" ht="28.5" customHeight="1" x14ac:dyDescent="0.25">
      <c r="A33" s="45"/>
      <c r="B33" s="75" t="s">
        <v>379</v>
      </c>
      <c r="C33" s="76" t="s">
        <v>380</v>
      </c>
      <c r="D33" s="76" t="s">
        <v>370</v>
      </c>
      <c r="E33" s="81">
        <v>100</v>
      </c>
      <c r="F33" s="82">
        <f t="shared" ref="F33:AC33" si="6">$E$33/(1+$D$11)^(F27-$E$27)</f>
        <v>100</v>
      </c>
      <c r="G33" s="82">
        <f t="shared" si="6"/>
        <v>100</v>
      </c>
      <c r="H33" s="82">
        <f t="shared" si="6"/>
        <v>100</v>
      </c>
      <c r="I33" s="82">
        <f t="shared" si="6"/>
        <v>100</v>
      </c>
      <c r="J33" s="82">
        <f t="shared" si="6"/>
        <v>100</v>
      </c>
      <c r="K33" s="82">
        <f t="shared" si="6"/>
        <v>100</v>
      </c>
      <c r="L33" s="82">
        <f t="shared" si="6"/>
        <v>100</v>
      </c>
      <c r="M33" s="82">
        <f t="shared" si="6"/>
        <v>100</v>
      </c>
      <c r="N33" s="82">
        <f t="shared" si="6"/>
        <v>100</v>
      </c>
      <c r="O33" s="82">
        <f t="shared" si="6"/>
        <v>100</v>
      </c>
      <c r="P33" s="82">
        <f t="shared" si="6"/>
        <v>100</v>
      </c>
      <c r="Q33" s="82">
        <f t="shared" si="6"/>
        <v>100</v>
      </c>
      <c r="R33" s="82">
        <f t="shared" si="6"/>
        <v>100</v>
      </c>
      <c r="S33" s="82">
        <f t="shared" si="6"/>
        <v>100</v>
      </c>
      <c r="T33" s="82">
        <f t="shared" si="6"/>
        <v>100</v>
      </c>
      <c r="U33" s="82">
        <f t="shared" si="6"/>
        <v>100</v>
      </c>
      <c r="V33" s="82">
        <f t="shared" si="6"/>
        <v>100</v>
      </c>
      <c r="W33" s="82">
        <f t="shared" si="6"/>
        <v>100</v>
      </c>
      <c r="X33" s="82">
        <f t="shared" si="6"/>
        <v>100</v>
      </c>
      <c r="Y33" s="82">
        <f t="shared" si="6"/>
        <v>100</v>
      </c>
      <c r="Z33" s="82">
        <f t="shared" si="6"/>
        <v>100</v>
      </c>
      <c r="AA33" s="82">
        <f t="shared" si="6"/>
        <v>100</v>
      </c>
      <c r="AB33" s="82">
        <f t="shared" si="6"/>
        <v>100</v>
      </c>
      <c r="AC33" s="82">
        <f t="shared" si="6"/>
        <v>100</v>
      </c>
    </row>
    <row r="34" spans="1:29" ht="28.5" customHeight="1" x14ac:dyDescent="0.25">
      <c r="A34" s="45"/>
      <c r="B34" s="75" t="s">
        <v>381</v>
      </c>
      <c r="C34" s="76" t="s">
        <v>382</v>
      </c>
      <c r="D34" s="76" t="s">
        <v>370</v>
      </c>
      <c r="E34" s="81">
        <v>100</v>
      </c>
      <c r="F34" s="82">
        <f t="shared" ref="F34:AC34" si="7">$E$34/(1+$D$12)^(F27-$E$27)</f>
        <v>100</v>
      </c>
      <c r="G34" s="82">
        <f t="shared" si="7"/>
        <v>100</v>
      </c>
      <c r="H34" s="82">
        <f t="shared" si="7"/>
        <v>100</v>
      </c>
      <c r="I34" s="82">
        <f t="shared" si="7"/>
        <v>100</v>
      </c>
      <c r="J34" s="82">
        <f t="shared" si="7"/>
        <v>100</v>
      </c>
      <c r="K34" s="82">
        <f t="shared" si="7"/>
        <v>100</v>
      </c>
      <c r="L34" s="82">
        <f t="shared" si="7"/>
        <v>100</v>
      </c>
      <c r="M34" s="82">
        <f t="shared" si="7"/>
        <v>100</v>
      </c>
      <c r="N34" s="82">
        <f t="shared" si="7"/>
        <v>100</v>
      </c>
      <c r="O34" s="82">
        <f t="shared" si="7"/>
        <v>100</v>
      </c>
      <c r="P34" s="82">
        <f t="shared" si="7"/>
        <v>100</v>
      </c>
      <c r="Q34" s="82">
        <f t="shared" si="7"/>
        <v>100</v>
      </c>
      <c r="R34" s="82">
        <f t="shared" si="7"/>
        <v>100</v>
      </c>
      <c r="S34" s="82">
        <f t="shared" si="7"/>
        <v>100</v>
      </c>
      <c r="T34" s="82">
        <f t="shared" si="7"/>
        <v>100</v>
      </c>
      <c r="U34" s="82">
        <f t="shared" si="7"/>
        <v>100</v>
      </c>
      <c r="V34" s="82">
        <f t="shared" si="7"/>
        <v>100</v>
      </c>
      <c r="W34" s="82">
        <f t="shared" si="7"/>
        <v>100</v>
      </c>
      <c r="X34" s="82">
        <f t="shared" si="7"/>
        <v>100</v>
      </c>
      <c r="Y34" s="82">
        <f t="shared" si="7"/>
        <v>100</v>
      </c>
      <c r="Z34" s="82">
        <f t="shared" si="7"/>
        <v>100</v>
      </c>
      <c r="AA34" s="82">
        <f t="shared" si="7"/>
        <v>100</v>
      </c>
      <c r="AB34" s="82">
        <f t="shared" si="7"/>
        <v>100</v>
      </c>
      <c r="AC34" s="82">
        <f t="shared" si="7"/>
        <v>100</v>
      </c>
    </row>
    <row r="35" spans="1:29" ht="9" customHeight="1" x14ac:dyDescent="0.25">
      <c r="A35" s="83"/>
      <c r="B35" s="84"/>
      <c r="C35" s="84"/>
      <c r="D35" s="84"/>
      <c r="E35" s="69"/>
      <c r="F35" s="69"/>
      <c r="G35" s="69"/>
      <c r="H35" s="69"/>
      <c r="I35" s="69"/>
      <c r="J35" s="69"/>
      <c r="K35" s="69"/>
      <c r="L35" s="69"/>
      <c r="M35" s="69"/>
      <c r="N35" s="69"/>
      <c r="O35" s="69"/>
      <c r="P35" s="69"/>
      <c r="Q35" s="69"/>
      <c r="R35" s="69"/>
      <c r="S35" s="69"/>
      <c r="T35" s="69"/>
      <c r="U35" s="69"/>
      <c r="V35" s="69"/>
      <c r="W35" s="69"/>
      <c r="X35" s="69"/>
      <c r="Y35" s="69"/>
      <c r="Z35" s="69"/>
      <c r="AA35" s="69"/>
      <c r="AB35" s="69"/>
      <c r="AC35" s="69"/>
    </row>
    <row r="36" spans="1:29" ht="37.5" customHeight="1" x14ac:dyDescent="0.25">
      <c r="A36" s="85"/>
      <c r="B36" s="86" t="s">
        <v>383</v>
      </c>
      <c r="C36" s="87" t="s">
        <v>384</v>
      </c>
      <c r="D36" s="87" t="s">
        <v>370</v>
      </c>
      <c r="E36" s="88">
        <f t="shared" ref="E36:AC36" si="8">(E28*E29/100+E30)*E31*E33</f>
        <v>1015000</v>
      </c>
      <c r="F36" s="88">
        <f t="shared" si="8"/>
        <v>0</v>
      </c>
      <c r="G36" s="88">
        <f t="shared" si="8"/>
        <v>0</v>
      </c>
      <c r="H36" s="88">
        <f t="shared" si="8"/>
        <v>0</v>
      </c>
      <c r="I36" s="88">
        <f t="shared" si="8"/>
        <v>0</v>
      </c>
      <c r="J36" s="88">
        <f t="shared" si="8"/>
        <v>0</v>
      </c>
      <c r="K36" s="88">
        <f t="shared" si="8"/>
        <v>0</v>
      </c>
      <c r="L36" s="88">
        <f t="shared" si="8"/>
        <v>0</v>
      </c>
      <c r="M36" s="88">
        <f t="shared" si="8"/>
        <v>0</v>
      </c>
      <c r="N36" s="88">
        <f t="shared" si="8"/>
        <v>0</v>
      </c>
      <c r="O36" s="88">
        <f t="shared" si="8"/>
        <v>0</v>
      </c>
      <c r="P36" s="88">
        <f t="shared" si="8"/>
        <v>0</v>
      </c>
      <c r="Q36" s="88">
        <f t="shared" si="8"/>
        <v>0</v>
      </c>
      <c r="R36" s="88">
        <f t="shared" si="8"/>
        <v>0</v>
      </c>
      <c r="S36" s="88">
        <f t="shared" si="8"/>
        <v>0</v>
      </c>
      <c r="T36" s="88">
        <f t="shared" si="8"/>
        <v>0</v>
      </c>
      <c r="U36" s="88">
        <f t="shared" si="8"/>
        <v>0</v>
      </c>
      <c r="V36" s="88">
        <f t="shared" si="8"/>
        <v>0</v>
      </c>
      <c r="W36" s="88">
        <f t="shared" si="8"/>
        <v>0</v>
      </c>
      <c r="X36" s="88">
        <f t="shared" si="8"/>
        <v>0</v>
      </c>
      <c r="Y36" s="88">
        <f t="shared" si="8"/>
        <v>0</v>
      </c>
      <c r="Z36" s="88">
        <f t="shared" si="8"/>
        <v>0</v>
      </c>
      <c r="AA36" s="88">
        <f t="shared" si="8"/>
        <v>0</v>
      </c>
      <c r="AB36" s="88">
        <f t="shared" si="8"/>
        <v>0</v>
      </c>
      <c r="AC36" s="88">
        <f t="shared" si="8"/>
        <v>0</v>
      </c>
    </row>
    <row r="37" spans="1:29" ht="37.5" customHeight="1" x14ac:dyDescent="0.25">
      <c r="B37" s="86" t="s">
        <v>385</v>
      </c>
      <c r="C37" s="87" t="s">
        <v>386</v>
      </c>
      <c r="D37" s="87" t="s">
        <v>370</v>
      </c>
      <c r="E37" s="89">
        <f t="shared" ref="E37:AC37" si="9">E36/$E$36-1</f>
        <v>0</v>
      </c>
      <c r="F37" s="89">
        <f t="shared" si="9"/>
        <v>-1</v>
      </c>
      <c r="G37" s="89">
        <f t="shared" si="9"/>
        <v>-1</v>
      </c>
      <c r="H37" s="89">
        <f t="shared" si="9"/>
        <v>-1</v>
      </c>
      <c r="I37" s="89">
        <f t="shared" si="9"/>
        <v>-1</v>
      </c>
      <c r="J37" s="89">
        <f t="shared" si="9"/>
        <v>-1</v>
      </c>
      <c r="K37" s="89">
        <f t="shared" si="9"/>
        <v>-1</v>
      </c>
      <c r="L37" s="89">
        <f t="shared" si="9"/>
        <v>-1</v>
      </c>
      <c r="M37" s="89">
        <f t="shared" si="9"/>
        <v>-1</v>
      </c>
      <c r="N37" s="89">
        <f t="shared" si="9"/>
        <v>-1</v>
      </c>
      <c r="O37" s="89">
        <f t="shared" si="9"/>
        <v>-1</v>
      </c>
      <c r="P37" s="89">
        <f t="shared" si="9"/>
        <v>-1</v>
      </c>
      <c r="Q37" s="89">
        <f t="shared" si="9"/>
        <v>-1</v>
      </c>
      <c r="R37" s="89">
        <f t="shared" si="9"/>
        <v>-1</v>
      </c>
      <c r="S37" s="89">
        <f t="shared" si="9"/>
        <v>-1</v>
      </c>
      <c r="T37" s="89">
        <f t="shared" si="9"/>
        <v>-1</v>
      </c>
      <c r="U37" s="89">
        <f t="shared" si="9"/>
        <v>-1</v>
      </c>
      <c r="V37" s="89">
        <f t="shared" si="9"/>
        <v>-1</v>
      </c>
      <c r="W37" s="89">
        <f t="shared" si="9"/>
        <v>-1</v>
      </c>
      <c r="X37" s="89">
        <f t="shared" si="9"/>
        <v>-1</v>
      </c>
      <c r="Y37" s="89">
        <f t="shared" si="9"/>
        <v>-1</v>
      </c>
      <c r="Z37" s="89">
        <f t="shared" si="9"/>
        <v>-1</v>
      </c>
      <c r="AA37" s="89">
        <f t="shared" si="9"/>
        <v>-1</v>
      </c>
      <c r="AB37" s="89">
        <f t="shared" si="9"/>
        <v>-1</v>
      </c>
      <c r="AC37" s="89">
        <f t="shared" si="9"/>
        <v>-1</v>
      </c>
    </row>
    <row r="38" spans="1:29" ht="37.5" customHeight="1" x14ac:dyDescent="0.25">
      <c r="B38" s="86" t="s">
        <v>387</v>
      </c>
      <c r="C38" s="87" t="s">
        <v>388</v>
      </c>
      <c r="D38" s="87" t="s">
        <v>370</v>
      </c>
      <c r="E38" s="88">
        <f t="shared" ref="E38:AC38" si="10">(E28*E29/100+E30)*E32*E34</f>
        <v>1015000</v>
      </c>
      <c r="F38" s="88">
        <f t="shared" si="10"/>
        <v>0</v>
      </c>
      <c r="G38" s="88">
        <f t="shared" si="10"/>
        <v>0</v>
      </c>
      <c r="H38" s="88">
        <f t="shared" si="10"/>
        <v>0</v>
      </c>
      <c r="I38" s="88">
        <f t="shared" si="10"/>
        <v>0</v>
      </c>
      <c r="J38" s="88">
        <f t="shared" si="10"/>
        <v>0</v>
      </c>
      <c r="K38" s="88">
        <f t="shared" si="10"/>
        <v>0</v>
      </c>
      <c r="L38" s="88">
        <f t="shared" si="10"/>
        <v>0</v>
      </c>
      <c r="M38" s="88">
        <f t="shared" si="10"/>
        <v>0</v>
      </c>
      <c r="N38" s="88">
        <f t="shared" si="10"/>
        <v>0</v>
      </c>
      <c r="O38" s="88">
        <f t="shared" si="10"/>
        <v>0</v>
      </c>
      <c r="P38" s="88">
        <f t="shared" si="10"/>
        <v>0</v>
      </c>
      <c r="Q38" s="88">
        <f t="shared" si="10"/>
        <v>0</v>
      </c>
      <c r="R38" s="88">
        <f t="shared" si="10"/>
        <v>0</v>
      </c>
      <c r="S38" s="88">
        <f t="shared" si="10"/>
        <v>0</v>
      </c>
      <c r="T38" s="88">
        <f t="shared" si="10"/>
        <v>0</v>
      </c>
      <c r="U38" s="88">
        <f t="shared" si="10"/>
        <v>0</v>
      </c>
      <c r="V38" s="88">
        <f t="shared" si="10"/>
        <v>0</v>
      </c>
      <c r="W38" s="88">
        <f t="shared" si="10"/>
        <v>0</v>
      </c>
      <c r="X38" s="88">
        <f t="shared" si="10"/>
        <v>0</v>
      </c>
      <c r="Y38" s="88">
        <f t="shared" si="10"/>
        <v>0</v>
      </c>
      <c r="Z38" s="88">
        <f t="shared" si="10"/>
        <v>0</v>
      </c>
      <c r="AA38" s="88">
        <f t="shared" si="10"/>
        <v>0</v>
      </c>
      <c r="AB38" s="88">
        <f t="shared" si="10"/>
        <v>0</v>
      </c>
      <c r="AC38" s="88">
        <f t="shared" si="10"/>
        <v>0</v>
      </c>
    </row>
    <row r="39" spans="1:29" ht="37.5" customHeight="1" x14ac:dyDescent="0.25">
      <c r="B39" s="86" t="s">
        <v>389</v>
      </c>
      <c r="C39" s="87" t="s">
        <v>390</v>
      </c>
      <c r="D39" s="87" t="s">
        <v>370</v>
      </c>
      <c r="E39" s="89">
        <f t="shared" ref="E39:AC39" si="11">E38/$E$38-1</f>
        <v>0</v>
      </c>
      <c r="F39" s="89">
        <f t="shared" si="11"/>
        <v>-1</v>
      </c>
      <c r="G39" s="89">
        <f t="shared" si="11"/>
        <v>-1</v>
      </c>
      <c r="H39" s="89">
        <f t="shared" si="11"/>
        <v>-1</v>
      </c>
      <c r="I39" s="89">
        <f t="shared" si="11"/>
        <v>-1</v>
      </c>
      <c r="J39" s="89">
        <f t="shared" si="11"/>
        <v>-1</v>
      </c>
      <c r="K39" s="89">
        <f t="shared" si="11"/>
        <v>-1</v>
      </c>
      <c r="L39" s="89">
        <f t="shared" si="11"/>
        <v>-1</v>
      </c>
      <c r="M39" s="89">
        <f t="shared" si="11"/>
        <v>-1</v>
      </c>
      <c r="N39" s="89">
        <f t="shared" si="11"/>
        <v>-1</v>
      </c>
      <c r="O39" s="89">
        <f t="shared" si="11"/>
        <v>-1</v>
      </c>
      <c r="P39" s="89">
        <f t="shared" si="11"/>
        <v>-1</v>
      </c>
      <c r="Q39" s="89">
        <f t="shared" si="11"/>
        <v>-1</v>
      </c>
      <c r="R39" s="89">
        <f t="shared" si="11"/>
        <v>-1</v>
      </c>
      <c r="S39" s="89">
        <f t="shared" si="11"/>
        <v>-1</v>
      </c>
      <c r="T39" s="89">
        <f t="shared" si="11"/>
        <v>-1</v>
      </c>
      <c r="U39" s="89">
        <f t="shared" si="11"/>
        <v>-1</v>
      </c>
      <c r="V39" s="89">
        <f t="shared" si="11"/>
        <v>-1</v>
      </c>
      <c r="W39" s="89">
        <f t="shared" si="11"/>
        <v>-1</v>
      </c>
      <c r="X39" s="89">
        <f t="shared" si="11"/>
        <v>-1</v>
      </c>
      <c r="Y39" s="89">
        <f t="shared" si="11"/>
        <v>-1</v>
      </c>
      <c r="Z39" s="89">
        <f t="shared" si="11"/>
        <v>-1</v>
      </c>
      <c r="AA39" s="89">
        <f t="shared" si="11"/>
        <v>-1</v>
      </c>
      <c r="AB39" s="89">
        <f t="shared" si="11"/>
        <v>-1</v>
      </c>
      <c r="AC39" s="89">
        <f t="shared" si="11"/>
        <v>-1</v>
      </c>
    </row>
    <row r="40" spans="1:29" ht="9" customHeight="1" x14ac:dyDescent="0.25">
      <c r="A40" s="85"/>
      <c r="B40" s="90"/>
      <c r="C40" s="90"/>
      <c r="D40" s="90"/>
      <c r="E40" s="91"/>
      <c r="F40" s="91"/>
      <c r="G40" s="91"/>
      <c r="H40" s="91"/>
      <c r="I40" s="91"/>
      <c r="J40" s="91"/>
      <c r="K40" s="91"/>
      <c r="L40" s="91"/>
      <c r="M40" s="91"/>
      <c r="N40" s="91"/>
      <c r="O40" s="91"/>
      <c r="P40" s="91"/>
      <c r="Q40" s="91"/>
      <c r="R40" s="91"/>
      <c r="S40" s="91"/>
      <c r="T40" s="91"/>
      <c r="U40" s="91"/>
      <c r="V40" s="91"/>
      <c r="W40" s="91"/>
      <c r="X40" s="91"/>
      <c r="Y40" s="91"/>
      <c r="Z40" s="91"/>
      <c r="AA40" s="91"/>
      <c r="AB40" s="91"/>
      <c r="AC40" s="91"/>
    </row>
    <row r="41" spans="1:29" ht="34.5" customHeight="1" x14ac:dyDescent="0.25">
      <c r="C41" s="87" t="s">
        <v>384</v>
      </c>
      <c r="D41" s="87" t="s">
        <v>345</v>
      </c>
      <c r="E41" s="92">
        <f t="shared" ref="E41:AC41" si="12">(1+E37)*$D$6</f>
        <v>1.395</v>
      </c>
      <c r="F41" s="92">
        <f t="shared" si="12"/>
        <v>0</v>
      </c>
      <c r="G41" s="92">
        <f t="shared" si="12"/>
        <v>0</v>
      </c>
      <c r="H41" s="92">
        <f t="shared" si="12"/>
        <v>0</v>
      </c>
      <c r="I41" s="92">
        <f t="shared" si="12"/>
        <v>0</v>
      </c>
      <c r="J41" s="92">
        <f t="shared" si="12"/>
        <v>0</v>
      </c>
      <c r="K41" s="92">
        <f t="shared" si="12"/>
        <v>0</v>
      </c>
      <c r="L41" s="92">
        <f t="shared" si="12"/>
        <v>0</v>
      </c>
      <c r="M41" s="92">
        <f t="shared" si="12"/>
        <v>0</v>
      </c>
      <c r="N41" s="92">
        <f t="shared" si="12"/>
        <v>0</v>
      </c>
      <c r="O41" s="92">
        <f t="shared" si="12"/>
        <v>0</v>
      </c>
      <c r="P41" s="92">
        <f t="shared" si="12"/>
        <v>0</v>
      </c>
      <c r="Q41" s="92">
        <f t="shared" si="12"/>
        <v>0</v>
      </c>
      <c r="R41" s="92">
        <f t="shared" si="12"/>
        <v>0</v>
      </c>
      <c r="S41" s="92">
        <f t="shared" si="12"/>
        <v>0</v>
      </c>
      <c r="T41" s="92">
        <f t="shared" si="12"/>
        <v>0</v>
      </c>
      <c r="U41" s="92">
        <f t="shared" si="12"/>
        <v>0</v>
      </c>
      <c r="V41" s="92">
        <f t="shared" si="12"/>
        <v>0</v>
      </c>
      <c r="W41" s="92">
        <f t="shared" si="12"/>
        <v>0</v>
      </c>
      <c r="X41" s="92">
        <f t="shared" si="12"/>
        <v>0</v>
      </c>
      <c r="Y41" s="92">
        <f t="shared" si="12"/>
        <v>0</v>
      </c>
      <c r="Z41" s="92">
        <f t="shared" si="12"/>
        <v>0</v>
      </c>
      <c r="AA41" s="92">
        <f t="shared" si="12"/>
        <v>0</v>
      </c>
      <c r="AB41" s="92">
        <f t="shared" si="12"/>
        <v>0</v>
      </c>
      <c r="AC41" s="92">
        <f t="shared" si="12"/>
        <v>0</v>
      </c>
    </row>
    <row r="42" spans="1:29" ht="34.5" customHeight="1" x14ac:dyDescent="0.25">
      <c r="C42" s="87" t="s">
        <v>388</v>
      </c>
      <c r="D42" s="87" t="s">
        <v>347</v>
      </c>
      <c r="E42" s="92">
        <f t="shared" ref="E42:AC42" si="13">(1+E39)*$D$7</f>
        <v>6.7000000000000004E-2</v>
      </c>
      <c r="F42" s="92">
        <f t="shared" si="13"/>
        <v>0</v>
      </c>
      <c r="G42" s="92">
        <f t="shared" si="13"/>
        <v>0</v>
      </c>
      <c r="H42" s="92">
        <f t="shared" si="13"/>
        <v>0</v>
      </c>
      <c r="I42" s="92">
        <f t="shared" si="13"/>
        <v>0</v>
      </c>
      <c r="J42" s="92">
        <f t="shared" si="13"/>
        <v>0</v>
      </c>
      <c r="K42" s="92">
        <f t="shared" si="13"/>
        <v>0</v>
      </c>
      <c r="L42" s="92">
        <f t="shared" si="13"/>
        <v>0</v>
      </c>
      <c r="M42" s="92">
        <f t="shared" si="13"/>
        <v>0</v>
      </c>
      <c r="N42" s="92">
        <f t="shared" si="13"/>
        <v>0</v>
      </c>
      <c r="O42" s="92">
        <f t="shared" si="13"/>
        <v>0</v>
      </c>
      <c r="P42" s="92">
        <f t="shared" si="13"/>
        <v>0</v>
      </c>
      <c r="Q42" s="92">
        <f t="shared" si="13"/>
        <v>0</v>
      </c>
      <c r="R42" s="92">
        <f t="shared" si="13"/>
        <v>0</v>
      </c>
      <c r="S42" s="92">
        <f t="shared" si="13"/>
        <v>0</v>
      </c>
      <c r="T42" s="92">
        <f t="shared" si="13"/>
        <v>0</v>
      </c>
      <c r="U42" s="92">
        <f t="shared" si="13"/>
        <v>0</v>
      </c>
      <c r="V42" s="92">
        <f t="shared" si="13"/>
        <v>0</v>
      </c>
      <c r="W42" s="92">
        <f t="shared" si="13"/>
        <v>0</v>
      </c>
      <c r="X42" s="92">
        <f t="shared" si="13"/>
        <v>0</v>
      </c>
      <c r="Y42" s="92">
        <f t="shared" si="13"/>
        <v>0</v>
      </c>
      <c r="Z42" s="92">
        <f t="shared" si="13"/>
        <v>0</v>
      </c>
      <c r="AA42" s="92">
        <f t="shared" si="13"/>
        <v>0</v>
      </c>
      <c r="AB42" s="92">
        <f t="shared" si="13"/>
        <v>0</v>
      </c>
      <c r="AC42" s="92">
        <f t="shared" si="13"/>
        <v>0</v>
      </c>
    </row>
    <row r="43" spans="1:29" s="151" customFormat="1" x14ac:dyDescent="0.25">
      <c r="C43" s="93" t="s">
        <v>391</v>
      </c>
    </row>
    <row r="44" spans="1:29" s="151" customFormat="1" ht="15" customHeight="1" x14ac:dyDescent="0.25"/>
    <row r="45" spans="1:29" s="151" customFormat="1" ht="15" customHeight="1" x14ac:dyDescent="0.25"/>
    <row r="46" spans="1:29" s="151" customFormat="1" ht="15" customHeight="1" x14ac:dyDescent="0.25"/>
    <row r="47" spans="1:29" s="151" customFormat="1" ht="23.25" customHeight="1" x14ac:dyDescent="0.25">
      <c r="A47" s="169" t="s">
        <v>392</v>
      </c>
    </row>
    <row r="48" spans="1:29" s="151" customFormat="1" ht="13.5" customHeight="1" x14ac:dyDescent="0.25"/>
    <row r="49" spans="2:29" s="151" customFormat="1" ht="13.5" customHeight="1" x14ac:dyDescent="0.25">
      <c r="B49" s="94" t="s">
        <v>393</v>
      </c>
      <c r="C49" s="94" t="s">
        <v>27</v>
      </c>
      <c r="D49" s="95" t="s">
        <v>343</v>
      </c>
    </row>
    <row r="50" spans="2:29" s="151" customFormat="1" x14ac:dyDescent="0.25">
      <c r="B50" s="96" t="s">
        <v>394</v>
      </c>
      <c r="C50" s="96" t="s">
        <v>345</v>
      </c>
      <c r="D50" s="97">
        <v>1.347</v>
      </c>
    </row>
    <row r="51" spans="2:29" s="151" customFormat="1" ht="13.5" customHeight="1" x14ac:dyDescent="0.25">
      <c r="B51" s="98" t="s">
        <v>395</v>
      </c>
      <c r="C51" s="98" t="s">
        <v>347</v>
      </c>
      <c r="D51" s="99">
        <v>7.0000000000000007E-2</v>
      </c>
    </row>
    <row r="52" spans="2:29" s="151" customFormat="1" ht="15" customHeight="1" x14ac:dyDescent="0.25"/>
    <row r="53" spans="2:29" s="151" customFormat="1" ht="13.5" customHeight="1" x14ac:dyDescent="0.25">
      <c r="C53" s="83" t="s">
        <v>348</v>
      </c>
      <c r="D53" s="83" t="s">
        <v>27</v>
      </c>
      <c r="E53" s="45">
        <v>2026</v>
      </c>
      <c r="F53" s="45">
        <v>2027</v>
      </c>
      <c r="G53" s="45">
        <v>2028</v>
      </c>
      <c r="H53" s="45">
        <v>2029</v>
      </c>
      <c r="I53" s="45">
        <v>2030</v>
      </c>
      <c r="J53" s="45">
        <v>2031</v>
      </c>
      <c r="K53" s="45">
        <v>2032</v>
      </c>
      <c r="L53" s="45">
        <v>2033</v>
      </c>
      <c r="M53" s="45">
        <v>2034</v>
      </c>
      <c r="N53" s="45">
        <v>2035</v>
      </c>
      <c r="O53" s="45">
        <v>2036</v>
      </c>
      <c r="P53" s="45">
        <v>2037</v>
      </c>
      <c r="Q53" s="45">
        <v>2038</v>
      </c>
      <c r="R53" s="45">
        <v>2039</v>
      </c>
      <c r="S53" s="45">
        <v>2040</v>
      </c>
      <c r="T53" s="45">
        <v>2041</v>
      </c>
      <c r="U53" s="45">
        <v>2042</v>
      </c>
      <c r="V53" s="45">
        <v>2043</v>
      </c>
      <c r="W53" s="45">
        <v>2044</v>
      </c>
      <c r="X53" s="45">
        <v>2045</v>
      </c>
      <c r="Y53" s="45">
        <v>2046</v>
      </c>
      <c r="Z53" s="45">
        <v>2047</v>
      </c>
      <c r="AA53" s="45">
        <v>2048</v>
      </c>
      <c r="AB53" s="45">
        <v>2049</v>
      </c>
      <c r="AC53" s="45">
        <v>2050</v>
      </c>
    </row>
    <row r="54" spans="2:29" ht="13.5" customHeight="1" x14ac:dyDescent="0.25">
      <c r="C54" s="100" t="s">
        <v>396</v>
      </c>
      <c r="D54" s="101" t="s">
        <v>397</v>
      </c>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3"/>
    </row>
    <row r="55" spans="2:29" ht="13.5" customHeight="1" x14ac:dyDescent="0.25">
      <c r="C55" s="104" t="s">
        <v>398</v>
      </c>
      <c r="D55" s="105" t="s">
        <v>399</v>
      </c>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7"/>
    </row>
    <row r="56" spans="2:29" ht="26.25" customHeight="1" x14ac:dyDescent="0.25">
      <c r="C56" s="108" t="s">
        <v>400</v>
      </c>
      <c r="D56" s="98" t="s">
        <v>401</v>
      </c>
      <c r="E56" s="109">
        <f>E54*(2*D50+10*E41)</f>
        <v>0</v>
      </c>
      <c r="F56" s="110">
        <f t="shared" ref="F56:AC56" si="14">F54*(2*E41+10*F41)</f>
        <v>0</v>
      </c>
      <c r="G56" s="110">
        <f t="shared" si="14"/>
        <v>0</v>
      </c>
      <c r="H56" s="110">
        <f t="shared" si="14"/>
        <v>0</v>
      </c>
      <c r="I56" s="110">
        <f t="shared" si="14"/>
        <v>0</v>
      </c>
      <c r="J56" s="110">
        <f t="shared" si="14"/>
        <v>0</v>
      </c>
      <c r="K56" s="110">
        <f t="shared" si="14"/>
        <v>0</v>
      </c>
      <c r="L56" s="110">
        <f t="shared" si="14"/>
        <v>0</v>
      </c>
      <c r="M56" s="110">
        <f t="shared" si="14"/>
        <v>0</v>
      </c>
      <c r="N56" s="110">
        <f t="shared" si="14"/>
        <v>0</v>
      </c>
      <c r="O56" s="110">
        <f t="shared" si="14"/>
        <v>0</v>
      </c>
      <c r="P56" s="110">
        <f t="shared" si="14"/>
        <v>0</v>
      </c>
      <c r="Q56" s="110">
        <f t="shared" si="14"/>
        <v>0</v>
      </c>
      <c r="R56" s="110">
        <f t="shared" si="14"/>
        <v>0</v>
      </c>
      <c r="S56" s="110">
        <f t="shared" si="14"/>
        <v>0</v>
      </c>
      <c r="T56" s="110">
        <f t="shared" si="14"/>
        <v>0</v>
      </c>
      <c r="U56" s="110">
        <f t="shared" si="14"/>
        <v>0</v>
      </c>
      <c r="V56" s="110">
        <f t="shared" si="14"/>
        <v>0</v>
      </c>
      <c r="W56" s="110">
        <f t="shared" si="14"/>
        <v>0</v>
      </c>
      <c r="X56" s="110">
        <f t="shared" si="14"/>
        <v>0</v>
      </c>
      <c r="Y56" s="110">
        <f t="shared" si="14"/>
        <v>0</v>
      </c>
      <c r="Z56" s="110">
        <f t="shared" si="14"/>
        <v>0</v>
      </c>
      <c r="AA56" s="110">
        <f t="shared" si="14"/>
        <v>0</v>
      </c>
      <c r="AB56" s="110">
        <f t="shared" si="14"/>
        <v>0</v>
      </c>
      <c r="AC56" s="111">
        <f t="shared" si="14"/>
        <v>0</v>
      </c>
    </row>
    <row r="57" spans="2:29" ht="26.25" customHeight="1" x14ac:dyDescent="0.25">
      <c r="C57" s="108" t="s">
        <v>402</v>
      </c>
      <c r="D57" s="98" t="s">
        <v>401</v>
      </c>
      <c r="E57" s="110">
        <f>E55*10000*(2*D51+10*E42)</f>
        <v>0</v>
      </c>
      <c r="F57" s="110">
        <f t="shared" ref="F57:AC57" si="15">F55*10000*(2*E42+10*F42)</f>
        <v>0</v>
      </c>
      <c r="G57" s="110">
        <f t="shared" si="15"/>
        <v>0</v>
      </c>
      <c r="H57" s="110">
        <f t="shared" si="15"/>
        <v>0</v>
      </c>
      <c r="I57" s="110">
        <f t="shared" si="15"/>
        <v>0</v>
      </c>
      <c r="J57" s="110">
        <f t="shared" si="15"/>
        <v>0</v>
      </c>
      <c r="K57" s="110">
        <f t="shared" si="15"/>
        <v>0</v>
      </c>
      <c r="L57" s="110">
        <f t="shared" si="15"/>
        <v>0</v>
      </c>
      <c r="M57" s="110">
        <f t="shared" si="15"/>
        <v>0</v>
      </c>
      <c r="N57" s="110">
        <f t="shared" si="15"/>
        <v>0</v>
      </c>
      <c r="O57" s="110">
        <f t="shared" si="15"/>
        <v>0</v>
      </c>
      <c r="P57" s="110">
        <f t="shared" si="15"/>
        <v>0</v>
      </c>
      <c r="Q57" s="110">
        <f t="shared" si="15"/>
        <v>0</v>
      </c>
      <c r="R57" s="110">
        <f t="shared" si="15"/>
        <v>0</v>
      </c>
      <c r="S57" s="110">
        <f t="shared" si="15"/>
        <v>0</v>
      </c>
      <c r="T57" s="110">
        <f t="shared" si="15"/>
        <v>0</v>
      </c>
      <c r="U57" s="110">
        <f t="shared" si="15"/>
        <v>0</v>
      </c>
      <c r="V57" s="110">
        <f t="shared" si="15"/>
        <v>0</v>
      </c>
      <c r="W57" s="110">
        <f t="shared" si="15"/>
        <v>0</v>
      </c>
      <c r="X57" s="110">
        <f t="shared" si="15"/>
        <v>0</v>
      </c>
      <c r="Y57" s="110">
        <f t="shared" si="15"/>
        <v>0</v>
      </c>
      <c r="Z57" s="110">
        <f t="shared" si="15"/>
        <v>0</v>
      </c>
      <c r="AA57" s="110">
        <f t="shared" si="15"/>
        <v>0</v>
      </c>
      <c r="AB57" s="110">
        <f t="shared" si="15"/>
        <v>0</v>
      </c>
      <c r="AC57" s="111">
        <f t="shared" si="15"/>
        <v>0</v>
      </c>
    </row>
    <row r="58" spans="2:29" s="151" customFormat="1" x14ac:dyDescent="0.25">
      <c r="E58" s="112"/>
    </row>
    <row r="59" spans="2:29" s="151" customFormat="1" ht="15" customHeight="1" x14ac:dyDescent="0.25"/>
    <row r="60" spans="2:29" s="151" customFormat="1" ht="15" customHeight="1" x14ac:dyDescent="0.25"/>
    <row r="61" spans="2:29" s="151" customFormat="1" ht="15" customHeight="1" x14ac:dyDescent="0.25"/>
    <row r="62" spans="2:29" s="151" customFormat="1" ht="15" customHeight="1" x14ac:dyDescent="0.25"/>
    <row r="63" spans="2:29" s="151" customFormat="1" ht="15" customHeight="1" x14ac:dyDescent="0.25"/>
    <row r="64" spans="2:29" s="151" customFormat="1" ht="15" customHeight="1" x14ac:dyDescent="0.25"/>
    <row r="65" s="151" customFormat="1" ht="15" customHeight="1" x14ac:dyDescent="0.25"/>
    <row r="66" s="151" customFormat="1" ht="15" customHeight="1" x14ac:dyDescent="0.25"/>
    <row r="67" s="151" customFormat="1" ht="15" customHeight="1" x14ac:dyDescent="0.25"/>
    <row r="68" s="151" customFormat="1" ht="15" customHeight="1" x14ac:dyDescent="0.25"/>
    <row r="69" s="151" customFormat="1" ht="15" customHeight="1" x14ac:dyDescent="0.25"/>
    <row r="70" s="151" customFormat="1" ht="15" customHeight="1" x14ac:dyDescent="0.25"/>
    <row r="71" s="151" customFormat="1" ht="15" customHeight="1" x14ac:dyDescent="0.25"/>
    <row r="72" s="151" customFormat="1" ht="15" customHeight="1" x14ac:dyDescent="0.25"/>
  </sheetData>
  <dataValidations count="1">
    <dataValidation type="list" allowBlank="1" showInputMessage="1" showErrorMessage="1" sqref="D13" xr:uid="{00000000-0002-0000-0800-000000000000}">
      <formula1>$E$27:$AC$27</formula1>
      <formula2>0</formula2>
    </dataValidation>
  </dataValidation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B2:F34"/>
  <sheetViews>
    <sheetView zoomScaleNormal="100" workbookViewId="0"/>
  </sheetViews>
  <sheetFormatPr baseColWidth="10" defaultColWidth="8.5703125" defaultRowHeight="15" customHeight="1" x14ac:dyDescent="0.25"/>
  <cols>
    <col min="1" max="1" width="2.7109375" style="1" customWidth="1"/>
    <col min="2" max="3" width="8.5703125" style="1"/>
    <col min="4" max="4" width="45.7109375" style="1" customWidth="1"/>
    <col min="5" max="5" width="13.85546875" style="1" customWidth="1"/>
    <col min="6" max="6" width="15" style="1" customWidth="1"/>
    <col min="7" max="7" width="11.42578125" style="1" customWidth="1"/>
    <col min="8" max="16384" width="8.5703125" style="1"/>
  </cols>
  <sheetData>
    <row r="2" spans="2:6" x14ac:dyDescent="0.25">
      <c r="B2" s="2" t="s">
        <v>404</v>
      </c>
    </row>
    <row r="4" spans="2:6" x14ac:dyDescent="0.25">
      <c r="D4" s="15" t="s">
        <v>405</v>
      </c>
      <c r="E4" s="16" t="s">
        <v>31</v>
      </c>
      <c r="F4" s="11">
        <f>INDEX('Données par OI'!$T$2:$T$58,MATCH(Synthèse!$E$4,'Données par OI'!$C$2:$C$58,0))</f>
        <v>0</v>
      </c>
    </row>
    <row r="5" spans="2:6" x14ac:dyDescent="0.25">
      <c r="D5" s="15" t="s">
        <v>65</v>
      </c>
      <c r="E5" s="16" t="s">
        <v>66</v>
      </c>
      <c r="F5" s="6">
        <f>'Données générales'!F42</f>
        <v>9.7799999999999994</v>
      </c>
    </row>
    <row r="7" spans="2:6" x14ac:dyDescent="0.25">
      <c r="D7" s="1" t="s">
        <v>406</v>
      </c>
      <c r="E7" s="16" t="s">
        <v>62</v>
      </c>
      <c r="F7" s="6">
        <f>F4*F5</f>
        <v>0</v>
      </c>
    </row>
    <row r="10" spans="2:6" x14ac:dyDescent="0.25">
      <c r="B10" s="2" t="s">
        <v>407</v>
      </c>
    </row>
    <row r="12" spans="2:6" x14ac:dyDescent="0.25">
      <c r="D12" s="15" t="s">
        <v>408</v>
      </c>
      <c r="E12" s="16" t="s">
        <v>409</v>
      </c>
      <c r="F12" s="11">
        <f>INDEX('Données par OI'!$V$2:$V$58,MATCH(Synthèse!$E$4,'Données par OI'!$C$2:$C$58,0))</f>
        <v>0</v>
      </c>
    </row>
    <row r="13" spans="2:6" x14ac:dyDescent="0.25">
      <c r="D13" s="15" t="s">
        <v>68</v>
      </c>
      <c r="E13" s="16" t="s">
        <v>69</v>
      </c>
      <c r="F13" s="19">
        <f>'Données générales'!F44</f>
        <v>0.15</v>
      </c>
    </row>
    <row r="14" spans="2:6" x14ac:dyDescent="0.25">
      <c r="D14" s="15" t="s">
        <v>410</v>
      </c>
      <c r="E14" s="16" t="s">
        <v>31</v>
      </c>
      <c r="F14" s="11">
        <f>INDEX('Données par OI'!$U$2:$U$58,MATCH(Synthèse!$E$4,'Données par OI'!$C$2:$C$58,0))</f>
        <v>0</v>
      </c>
    </row>
    <row r="15" spans="2:6" x14ac:dyDescent="0.25">
      <c r="D15" s="15" t="s">
        <v>68</v>
      </c>
      <c r="E15" s="10" t="s">
        <v>71</v>
      </c>
      <c r="F15" s="6">
        <f>'Données générales'!F45</f>
        <v>10</v>
      </c>
    </row>
    <row r="17" spans="2:6" x14ac:dyDescent="0.25">
      <c r="D17" s="1" t="s">
        <v>411</v>
      </c>
      <c r="E17" s="16" t="s">
        <v>62</v>
      </c>
      <c r="F17" s="6">
        <f>F12*F13*1000+F14*F15</f>
        <v>0</v>
      </c>
    </row>
    <row r="18" spans="2:6" x14ac:dyDescent="0.25">
      <c r="E18" s="10"/>
      <c r="F18" s="6"/>
    </row>
    <row r="20" spans="2:6" x14ac:dyDescent="0.25">
      <c r="B20" s="2" t="s">
        <v>412</v>
      </c>
    </row>
    <row r="22" spans="2:6" x14ac:dyDescent="0.25">
      <c r="D22" s="1" t="s">
        <v>413</v>
      </c>
      <c r="E22" s="10" t="s">
        <v>409</v>
      </c>
      <c r="F22" s="11">
        <f>INDEX('Données par OI'!$W$2:$W$58,MATCH(Synthèse!$E$4,'Données par OI'!$C$2:$C$58,0))</f>
        <v>0</v>
      </c>
    </row>
    <row r="23" spans="2:6" x14ac:dyDescent="0.25">
      <c r="D23" s="1" t="s">
        <v>73</v>
      </c>
      <c r="E23" s="16" t="s">
        <v>69</v>
      </c>
      <c r="F23" s="19">
        <f>'Données générales'!F47</f>
        <v>0</v>
      </c>
    </row>
    <row r="25" spans="2:6" x14ac:dyDescent="0.25">
      <c r="D25" s="1" t="s">
        <v>414</v>
      </c>
      <c r="E25" s="16" t="s">
        <v>62</v>
      </c>
      <c r="F25" s="6">
        <f>F22*F23*1000</f>
        <v>0</v>
      </c>
    </row>
    <row r="28" spans="2:6" x14ac:dyDescent="0.25">
      <c r="B28" s="2" t="s">
        <v>415</v>
      </c>
    </row>
    <row r="30" spans="2:6" x14ac:dyDescent="0.25">
      <c r="D30" s="1" t="s">
        <v>322</v>
      </c>
      <c r="E30" s="10" t="s">
        <v>62</v>
      </c>
      <c r="F30" s="30">
        <f>(F25+F17+F7)*'Données générales'!F49</f>
        <v>0</v>
      </c>
    </row>
    <row r="33" spans="2:6" x14ac:dyDescent="0.25">
      <c r="B33" s="2" t="s">
        <v>19</v>
      </c>
    </row>
    <row r="34" spans="2:6" x14ac:dyDescent="0.25">
      <c r="C34" s="2" t="s">
        <v>323</v>
      </c>
      <c r="D34" s="2"/>
      <c r="F34" s="31">
        <f>F7+F17+F25+F30</f>
        <v>0</v>
      </c>
    </row>
  </sheetData>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BA136"/>
  <sheetViews>
    <sheetView zoomScaleNormal="100" workbookViewId="0"/>
  </sheetViews>
  <sheetFormatPr baseColWidth="10" defaultColWidth="8.5703125" defaultRowHeight="15" customHeight="1" x14ac:dyDescent="0.25"/>
  <cols>
    <col min="1" max="1" width="12.5703125" customWidth="1"/>
    <col min="2" max="3" width="10.85546875" customWidth="1"/>
    <col min="5" max="5" width="12.42578125" customWidth="1"/>
    <col min="6" max="6" width="10.85546875" customWidth="1"/>
    <col min="17" max="53" width="8.5703125" style="151"/>
  </cols>
  <sheetData>
    <row r="1" spans="1:16" ht="15.75" customHeight="1" x14ac:dyDescent="0.25">
      <c r="A1" s="170" t="s">
        <v>416</v>
      </c>
      <c r="B1" s="113"/>
      <c r="C1" s="113"/>
      <c r="D1" s="113"/>
      <c r="E1" s="113"/>
      <c r="F1" s="114"/>
      <c r="G1" s="114"/>
      <c r="H1" s="114"/>
      <c r="I1" s="151"/>
      <c r="J1" s="151"/>
      <c r="K1" s="151"/>
      <c r="L1" s="151"/>
      <c r="M1" s="151"/>
      <c r="N1" s="151"/>
      <c r="O1" s="151"/>
      <c r="P1" s="151"/>
    </row>
    <row r="2" spans="1:16" ht="15.75" customHeight="1" x14ac:dyDescent="0.25">
      <c r="A2" s="114"/>
      <c r="B2" s="115"/>
      <c r="C2" s="1"/>
      <c r="D2" s="1"/>
      <c r="E2" s="151"/>
      <c r="F2" s="151"/>
      <c r="G2" s="151"/>
      <c r="H2" s="151"/>
      <c r="I2" s="151"/>
      <c r="J2" s="151"/>
      <c r="K2" s="151"/>
      <c r="L2" s="151"/>
      <c r="M2" s="151"/>
      <c r="N2" s="151"/>
      <c r="O2" s="151"/>
      <c r="P2" s="151"/>
    </row>
    <row r="3" spans="1:16" ht="17.25" customHeight="1" x14ac:dyDescent="0.25">
      <c r="A3" s="116">
        <v>0.03</v>
      </c>
      <c r="B3" s="117" t="s">
        <v>417</v>
      </c>
      <c r="C3" s="151"/>
      <c r="D3" s="118"/>
      <c r="E3" s="118"/>
      <c r="F3" s="3"/>
      <c r="G3" s="3"/>
      <c r="H3" s="151"/>
      <c r="I3" s="151"/>
      <c r="J3" s="151"/>
      <c r="K3" s="151"/>
      <c r="L3" s="151"/>
      <c r="M3" s="151"/>
      <c r="N3" s="151"/>
      <c r="O3" s="151"/>
      <c r="P3" s="151"/>
    </row>
    <row r="4" spans="1:16" ht="17.25" customHeight="1" x14ac:dyDescent="0.25">
      <c r="A4" s="119">
        <f>R40</f>
        <v>27.33</v>
      </c>
      <c r="B4" s="117" t="s">
        <v>418</v>
      </c>
      <c r="C4" s="151"/>
      <c r="D4" s="118"/>
      <c r="E4" s="118"/>
      <c r="F4" s="151"/>
      <c r="G4" s="151"/>
      <c r="H4" s="151"/>
      <c r="I4" s="151"/>
      <c r="J4" s="151"/>
      <c r="K4" s="151"/>
      <c r="L4" s="151"/>
      <c r="M4" s="151"/>
      <c r="N4" s="151"/>
      <c r="O4" s="151"/>
      <c r="P4" s="151"/>
    </row>
    <row r="5" spans="1:16" x14ac:dyDescent="0.25">
      <c r="A5" s="118"/>
      <c r="B5" s="118"/>
      <c r="C5" s="118"/>
      <c r="D5" s="118"/>
      <c r="E5" s="118"/>
      <c r="F5" s="151"/>
      <c r="G5" s="151"/>
      <c r="H5" s="151"/>
      <c r="I5" s="151"/>
      <c r="J5" s="151"/>
      <c r="K5" s="151"/>
      <c r="L5" s="151"/>
      <c r="M5" s="151"/>
      <c r="N5" s="151"/>
      <c r="O5" s="151"/>
      <c r="P5" s="151"/>
    </row>
    <row r="6" spans="1:16" ht="15.75" customHeight="1" x14ac:dyDescent="0.25">
      <c r="A6" s="171" t="s">
        <v>419</v>
      </c>
      <c r="B6" s="115"/>
      <c r="C6" s="1"/>
      <c r="D6" s="1"/>
      <c r="E6" s="151"/>
      <c r="F6" s="151"/>
      <c r="G6" s="151"/>
      <c r="H6" s="151"/>
      <c r="I6" s="151"/>
      <c r="J6" s="151"/>
      <c r="K6" s="151"/>
      <c r="L6" s="151"/>
      <c r="M6" s="151"/>
      <c r="N6" s="151"/>
      <c r="O6" s="151"/>
      <c r="P6" s="151"/>
    </row>
    <row r="7" spans="1:16" x14ac:dyDescent="0.25">
      <c r="A7" s="120" t="s">
        <v>403</v>
      </c>
      <c r="B7" s="151"/>
      <c r="C7" s="151"/>
      <c r="D7" s="151"/>
      <c r="E7" s="151"/>
      <c r="F7" s="151"/>
      <c r="G7" s="151"/>
      <c r="H7" s="151"/>
      <c r="I7" s="151"/>
      <c r="J7" s="120" t="s">
        <v>420</v>
      </c>
      <c r="K7" s="120" t="s">
        <v>421</v>
      </c>
      <c r="L7" s="120" t="s">
        <v>422</v>
      </c>
      <c r="M7" s="120" t="s">
        <v>423</v>
      </c>
      <c r="N7" s="120" t="s">
        <v>423</v>
      </c>
      <c r="O7" s="151"/>
      <c r="P7" s="151"/>
    </row>
    <row r="8" spans="1:16" ht="17.25" customHeight="1" x14ac:dyDescent="0.25">
      <c r="A8" s="121">
        <f>INDEX('Données par OI'!$Y$2:$Y$58,MATCH(Synthèse!$E$4,'Données par OI'!$C$2:$C$58,0))</f>
        <v>0</v>
      </c>
      <c r="B8" s="3" t="s">
        <v>424</v>
      </c>
      <c r="C8" s="151"/>
      <c r="D8" s="151"/>
      <c r="E8" s="151"/>
      <c r="F8" s="151"/>
      <c r="G8" s="151"/>
      <c r="H8" s="151"/>
      <c r="I8" s="151"/>
      <c r="J8" s="122"/>
      <c r="K8" s="122"/>
      <c r="L8" s="122"/>
      <c r="M8" s="122"/>
      <c r="N8" s="122"/>
      <c r="O8" s="3" t="s">
        <v>55</v>
      </c>
      <c r="P8" s="151"/>
    </row>
    <row r="9" spans="1:16" ht="17.25" customHeight="1" x14ac:dyDescent="0.25">
      <c r="A9" s="123">
        <f>INDEX('Données par OI'!$H$2:$H$58,MATCH(Synthèse!$E$4,'Données par OI'!$C$2:$C$58,0))</f>
        <v>0</v>
      </c>
      <c r="B9" s="3" t="s">
        <v>425</v>
      </c>
      <c r="C9" s="151"/>
      <c r="D9" s="151"/>
      <c r="E9" s="151"/>
      <c r="F9" s="151"/>
      <c r="G9" s="151"/>
      <c r="H9" s="151"/>
      <c r="I9" s="151"/>
      <c r="J9" s="122"/>
      <c r="K9" s="122"/>
      <c r="L9" s="122"/>
      <c r="M9" s="122"/>
      <c r="N9" s="122"/>
      <c r="O9" s="3"/>
      <c r="P9" s="151"/>
    </row>
    <row r="10" spans="1:16" x14ac:dyDescent="0.25">
      <c r="A10" s="118"/>
      <c r="B10" s="118"/>
      <c r="C10" s="118"/>
      <c r="D10" s="118"/>
      <c r="E10" s="118"/>
      <c r="F10" s="3"/>
      <c r="G10" s="3"/>
      <c r="H10" s="151"/>
      <c r="I10" s="151"/>
      <c r="J10" s="151"/>
      <c r="K10" s="151"/>
      <c r="L10" s="151"/>
      <c r="M10" s="151"/>
      <c r="N10" s="151"/>
      <c r="O10" s="151"/>
      <c r="P10" s="151"/>
    </row>
    <row r="11" spans="1:16" ht="15.75" customHeight="1" x14ac:dyDescent="0.25">
      <c r="A11" s="170" t="s">
        <v>426</v>
      </c>
      <c r="B11" s="113"/>
      <c r="C11" s="113"/>
      <c r="D11" s="113"/>
      <c r="E11" s="113"/>
      <c r="F11" s="114"/>
      <c r="G11" s="114"/>
      <c r="H11" s="114"/>
      <c r="I11" s="1"/>
      <c r="J11" s="151"/>
      <c r="K11" s="151"/>
      <c r="L11" s="151"/>
      <c r="M11" s="151"/>
      <c r="N11" s="151"/>
      <c r="O11" s="151"/>
      <c r="P11" s="151"/>
    </row>
    <row r="12" spans="1:16" ht="15.75" customHeight="1" x14ac:dyDescent="0.25">
      <c r="A12" s="113"/>
      <c r="B12" s="124"/>
      <c r="C12" s="118"/>
      <c r="D12" s="118"/>
      <c r="E12" s="118"/>
      <c r="F12" s="151"/>
      <c r="G12" s="151"/>
      <c r="H12" s="151"/>
      <c r="I12" s="151"/>
      <c r="J12" s="151"/>
      <c r="K12" s="151"/>
      <c r="L12" s="151"/>
      <c r="M12" s="151"/>
      <c r="N12" s="151"/>
      <c r="O12" s="151"/>
      <c r="P12" s="151"/>
    </row>
    <row r="13" spans="1:16" x14ac:dyDescent="0.25">
      <c r="A13" s="120" t="s">
        <v>403</v>
      </c>
      <c r="B13" s="151"/>
      <c r="C13" s="151"/>
      <c r="D13" s="151"/>
      <c r="E13" s="151"/>
      <c r="F13" s="151"/>
      <c r="G13" s="151"/>
      <c r="H13" s="151"/>
      <c r="I13" s="151"/>
      <c r="J13" s="120" t="s">
        <v>420</v>
      </c>
      <c r="K13" s="120" t="s">
        <v>421</v>
      </c>
      <c r="L13" s="120" t="s">
        <v>422</v>
      </c>
      <c r="M13" s="120" t="s">
        <v>423</v>
      </c>
      <c r="N13" s="120" t="s">
        <v>423</v>
      </c>
      <c r="O13" s="151"/>
      <c r="P13" s="151"/>
    </row>
    <row r="14" spans="1:16" x14ac:dyDescent="0.25">
      <c r="A14" s="125">
        <f>$A$4*(1+$A$3)*A$8*A$9</f>
        <v>0</v>
      </c>
      <c r="B14" s="126" t="s">
        <v>34</v>
      </c>
      <c r="C14" s="151"/>
      <c r="D14" s="151"/>
      <c r="E14" s="151"/>
      <c r="F14" s="151"/>
      <c r="G14" s="151"/>
      <c r="H14" s="151"/>
      <c r="I14" s="151"/>
      <c r="J14" s="125">
        <f>$A$4*(1+$A$3)*J$8*J$9</f>
        <v>0</v>
      </c>
      <c r="K14" s="125">
        <f>$A$4*(1+$A$3)*K$8*K$9</f>
        <v>0</v>
      </c>
      <c r="L14" s="125">
        <f>$A$4*(1+$A$3)*L$8*L$9</f>
        <v>0</v>
      </c>
      <c r="M14" s="125">
        <f>$A$4*(1+$A$3)*M$8*M$9</f>
        <v>0</v>
      </c>
      <c r="N14" s="125">
        <f>$A$4*(1+$A$3)*N$8*N$9</f>
        <v>0</v>
      </c>
      <c r="O14" s="126" t="s">
        <v>34</v>
      </c>
      <c r="P14" s="151"/>
    </row>
    <row r="15" spans="1:16" ht="15" customHeight="1" x14ac:dyDescent="0.25">
      <c r="B15" s="151"/>
      <c r="C15" s="151"/>
      <c r="D15" s="151"/>
      <c r="E15" s="151"/>
      <c r="F15" s="151"/>
      <c r="G15" s="151"/>
      <c r="H15" s="151"/>
      <c r="I15" s="151"/>
      <c r="O15" s="151"/>
      <c r="P15" s="151"/>
    </row>
    <row r="16" spans="1:16" ht="17.25" customHeight="1" x14ac:dyDescent="0.25">
      <c r="A16" s="127" t="s">
        <v>427</v>
      </c>
      <c r="B16" s="3"/>
      <c r="C16" s="151"/>
      <c r="D16" s="151"/>
      <c r="E16" s="151"/>
      <c r="F16" s="151"/>
      <c r="G16" s="151"/>
      <c r="H16" s="151"/>
      <c r="I16" s="151"/>
      <c r="J16" s="151"/>
      <c r="K16" s="151"/>
      <c r="L16" s="151"/>
      <c r="M16" s="151"/>
      <c r="N16" s="151"/>
      <c r="O16" s="151"/>
      <c r="P16" s="151"/>
    </row>
    <row r="17" spans="1:16" ht="17.25" customHeight="1" x14ac:dyDescent="0.25">
      <c r="A17" s="3" t="s">
        <v>428</v>
      </c>
      <c r="B17" s="3"/>
      <c r="C17" s="151"/>
      <c r="D17" s="151"/>
      <c r="E17" s="151"/>
      <c r="F17" s="151"/>
      <c r="G17" s="151"/>
      <c r="H17" s="151"/>
      <c r="I17" s="151"/>
      <c r="J17" s="151"/>
      <c r="K17" s="151"/>
      <c r="L17" s="151"/>
      <c r="M17" s="151"/>
      <c r="N17" s="151"/>
      <c r="O17" s="151"/>
      <c r="P17" s="151"/>
    </row>
    <row r="18" spans="1:16" ht="17.25" customHeight="1" x14ac:dyDescent="0.25">
      <c r="A18" s="3" t="s">
        <v>429</v>
      </c>
      <c r="B18" s="3"/>
      <c r="C18" s="151"/>
      <c r="D18" s="151"/>
      <c r="E18" s="151"/>
      <c r="F18" s="151"/>
      <c r="G18" s="151"/>
      <c r="H18" s="151"/>
      <c r="I18" s="151"/>
      <c r="J18" s="151"/>
      <c r="K18" s="151"/>
      <c r="L18" s="151"/>
      <c r="M18" s="151"/>
      <c r="N18" s="151"/>
      <c r="O18" s="151"/>
      <c r="P18" s="151"/>
    </row>
    <row r="19" spans="1:16" ht="17.25" customHeight="1" x14ac:dyDescent="0.25">
      <c r="A19" s="3" t="s">
        <v>430</v>
      </c>
      <c r="B19" s="3"/>
      <c r="C19" s="151"/>
      <c r="D19" s="151"/>
      <c r="E19" s="151"/>
      <c r="F19" s="151"/>
      <c r="G19" s="151"/>
      <c r="H19" s="151"/>
      <c r="I19" s="151"/>
      <c r="J19" s="151"/>
      <c r="K19" s="151"/>
      <c r="L19" s="151"/>
      <c r="M19" s="151"/>
      <c r="N19" s="151"/>
      <c r="O19" s="151"/>
      <c r="P19" s="151"/>
    </row>
    <row r="20" spans="1:16" ht="15" customHeight="1" x14ac:dyDescent="0.25">
      <c r="B20" s="151"/>
      <c r="C20" s="151"/>
      <c r="D20" s="151"/>
      <c r="E20" s="151"/>
      <c r="F20" s="151"/>
      <c r="G20" s="151"/>
      <c r="H20" s="151"/>
      <c r="I20" s="151"/>
      <c r="J20" s="151"/>
      <c r="K20" s="151"/>
      <c r="L20" s="151"/>
      <c r="M20" s="151"/>
      <c r="N20" s="151"/>
      <c r="O20" s="151"/>
      <c r="P20" s="151"/>
    </row>
    <row r="21" spans="1:16" ht="19.5" customHeight="1" x14ac:dyDescent="0.3">
      <c r="A21" s="128" t="s">
        <v>431</v>
      </c>
      <c r="B21" s="129"/>
      <c r="C21" s="129"/>
      <c r="D21" s="129"/>
      <c r="E21" s="129"/>
      <c r="F21" s="129"/>
      <c r="G21" s="129"/>
      <c r="H21" s="129"/>
      <c r="I21" s="129"/>
      <c r="J21" s="151"/>
      <c r="K21" s="151"/>
      <c r="L21" s="151"/>
      <c r="M21" s="151"/>
      <c r="N21" s="151"/>
      <c r="O21" s="151"/>
      <c r="P21" s="151"/>
    </row>
    <row r="22" spans="1:16" ht="15.75" customHeight="1" x14ac:dyDescent="0.25">
      <c r="A22" s="25" t="s">
        <v>432</v>
      </c>
      <c r="B22" s="172" t="s">
        <v>433</v>
      </c>
      <c r="C22" s="151"/>
      <c r="D22" s="151"/>
      <c r="E22" s="151"/>
      <c r="F22" s="151"/>
      <c r="G22" s="151"/>
      <c r="H22" s="151"/>
      <c r="I22" s="151"/>
      <c r="J22" s="151"/>
      <c r="K22" s="151"/>
      <c r="L22" s="151"/>
      <c r="M22" s="151"/>
      <c r="N22" s="151"/>
      <c r="O22" s="151"/>
      <c r="P22" s="151"/>
    </row>
    <row r="23" spans="1:16" ht="15" customHeight="1" x14ac:dyDescent="0.25">
      <c r="B23" s="151"/>
      <c r="C23" s="151"/>
      <c r="D23" s="151"/>
      <c r="E23" s="151"/>
      <c r="F23" s="151"/>
      <c r="G23" s="151"/>
      <c r="H23" s="151"/>
      <c r="I23" s="151"/>
      <c r="J23" s="151"/>
      <c r="K23" s="151"/>
      <c r="L23" s="151"/>
      <c r="M23" s="151"/>
      <c r="N23" s="151"/>
      <c r="O23" s="151"/>
      <c r="P23" s="151"/>
    </row>
    <row r="24" spans="1:16" ht="15" customHeight="1" x14ac:dyDescent="0.25">
      <c r="A24" s="183" t="s">
        <v>434</v>
      </c>
      <c r="B24" s="183"/>
      <c r="C24" s="183"/>
      <c r="D24" s="183"/>
      <c r="E24" s="183"/>
      <c r="F24" s="183"/>
      <c r="G24" s="183"/>
      <c r="H24" s="183"/>
      <c r="I24" s="183"/>
      <c r="J24" s="183"/>
      <c r="K24" s="183"/>
      <c r="L24" s="183"/>
      <c r="M24" s="183"/>
      <c r="N24" s="183"/>
      <c r="O24" s="183"/>
      <c r="P24" s="184"/>
    </row>
    <row r="25" spans="1:16" x14ac:dyDescent="0.25">
      <c r="A25" s="183"/>
      <c r="B25" s="183"/>
      <c r="C25" s="183"/>
      <c r="D25" s="183"/>
      <c r="E25" s="183"/>
      <c r="F25" s="183"/>
      <c r="G25" s="183"/>
      <c r="H25" s="183"/>
      <c r="I25" s="183"/>
      <c r="J25" s="183"/>
      <c r="K25" s="183"/>
      <c r="L25" s="183"/>
      <c r="M25" s="183"/>
      <c r="N25" s="183"/>
      <c r="O25" s="183"/>
      <c r="P25" s="184"/>
    </row>
    <row r="26" spans="1:16" x14ac:dyDescent="0.25">
      <c r="A26" s="183"/>
      <c r="B26" s="183"/>
      <c r="C26" s="183"/>
      <c r="D26" s="183"/>
      <c r="E26" s="183"/>
      <c r="F26" s="183"/>
      <c r="G26" s="183"/>
      <c r="H26" s="183"/>
      <c r="I26" s="183"/>
      <c r="J26" s="183"/>
      <c r="K26" s="183"/>
      <c r="L26" s="183"/>
      <c r="M26" s="183"/>
      <c r="N26" s="183"/>
      <c r="O26" s="183"/>
      <c r="P26" s="184"/>
    </row>
    <row r="27" spans="1:16" x14ac:dyDescent="0.25">
      <c r="A27" s="183"/>
      <c r="B27" s="183"/>
      <c r="C27" s="183"/>
      <c r="D27" s="183"/>
      <c r="E27" s="183"/>
      <c r="F27" s="183"/>
      <c r="G27" s="183"/>
      <c r="H27" s="183"/>
      <c r="I27" s="183"/>
      <c r="J27" s="183"/>
      <c r="K27" s="183"/>
      <c r="L27" s="183"/>
      <c r="M27" s="183"/>
      <c r="N27" s="183"/>
      <c r="O27" s="183"/>
      <c r="P27" s="184"/>
    </row>
    <row r="28" spans="1:16" x14ac:dyDescent="0.25">
      <c r="A28" s="183"/>
      <c r="B28" s="183"/>
      <c r="C28" s="183"/>
      <c r="D28" s="183"/>
      <c r="E28" s="183"/>
      <c r="F28" s="183"/>
      <c r="G28" s="183"/>
      <c r="H28" s="183"/>
      <c r="I28" s="183"/>
      <c r="J28" s="183"/>
      <c r="K28" s="183"/>
      <c r="L28" s="183"/>
      <c r="M28" s="183"/>
      <c r="N28" s="183"/>
      <c r="O28" s="183"/>
      <c r="P28" s="184"/>
    </row>
    <row r="29" spans="1:16" x14ac:dyDescent="0.25">
      <c r="A29" s="183"/>
      <c r="B29" s="183"/>
      <c r="C29" s="183"/>
      <c r="D29" s="183"/>
      <c r="E29" s="183"/>
      <c r="F29" s="183"/>
      <c r="G29" s="183"/>
      <c r="H29" s="183"/>
      <c r="I29" s="183"/>
      <c r="J29" s="183"/>
      <c r="K29" s="183"/>
      <c r="L29" s="183"/>
      <c r="M29" s="183"/>
      <c r="N29" s="183"/>
      <c r="O29" s="183"/>
      <c r="P29" s="184"/>
    </row>
    <row r="30" spans="1:16" x14ac:dyDescent="0.25">
      <c r="A30" s="183"/>
      <c r="B30" s="183"/>
      <c r="C30" s="183"/>
      <c r="D30" s="183"/>
      <c r="E30" s="183"/>
      <c r="F30" s="183"/>
      <c r="G30" s="183"/>
      <c r="H30" s="183"/>
      <c r="I30" s="183"/>
      <c r="J30" s="183"/>
      <c r="K30" s="183"/>
      <c r="L30" s="183"/>
      <c r="M30" s="183"/>
      <c r="N30" s="183"/>
      <c r="O30" s="183"/>
      <c r="P30" s="184"/>
    </row>
    <row r="31" spans="1:16" x14ac:dyDescent="0.25">
      <c r="A31" s="183"/>
      <c r="B31" s="183"/>
      <c r="C31" s="183"/>
      <c r="D31" s="183"/>
      <c r="E31" s="183"/>
      <c r="F31" s="183"/>
      <c r="G31" s="183"/>
      <c r="H31" s="183"/>
      <c r="I31" s="183"/>
      <c r="J31" s="183"/>
      <c r="K31" s="183"/>
      <c r="L31" s="183"/>
      <c r="M31" s="183"/>
      <c r="N31" s="183"/>
      <c r="O31" s="183"/>
      <c r="P31" s="184"/>
    </row>
    <row r="32" spans="1:16" x14ac:dyDescent="0.25">
      <c r="A32" s="183"/>
      <c r="B32" s="183"/>
      <c r="C32" s="183"/>
      <c r="D32" s="183"/>
      <c r="E32" s="183"/>
      <c r="F32" s="183"/>
      <c r="G32" s="183"/>
      <c r="H32" s="183"/>
      <c r="I32" s="183"/>
      <c r="J32" s="183"/>
      <c r="K32" s="183"/>
      <c r="L32" s="183"/>
      <c r="M32" s="183"/>
      <c r="N32" s="183"/>
      <c r="O32" s="183"/>
      <c r="P32" s="184"/>
    </row>
    <row r="33" spans="1:22" x14ac:dyDescent="0.25">
      <c r="A33" s="183"/>
      <c r="B33" s="183"/>
      <c r="C33" s="183"/>
      <c r="D33" s="183"/>
      <c r="E33" s="183"/>
      <c r="F33" s="183"/>
      <c r="G33" s="183"/>
      <c r="H33" s="183"/>
      <c r="I33" s="183"/>
      <c r="J33" s="183"/>
      <c r="K33" s="183"/>
      <c r="L33" s="183"/>
      <c r="M33" s="183"/>
      <c r="N33" s="183"/>
      <c r="O33" s="183"/>
      <c r="P33" s="184"/>
    </row>
    <row r="34" spans="1:22" x14ac:dyDescent="0.25">
      <c r="A34" s="183"/>
      <c r="B34" s="183"/>
      <c r="C34" s="183"/>
      <c r="D34" s="183"/>
      <c r="E34" s="183"/>
      <c r="F34" s="183"/>
      <c r="G34" s="183"/>
      <c r="H34" s="183"/>
      <c r="I34" s="183"/>
      <c r="J34" s="183"/>
      <c r="K34" s="183"/>
      <c r="L34" s="183"/>
      <c r="M34" s="183"/>
      <c r="N34" s="183"/>
      <c r="O34" s="183"/>
      <c r="P34" s="184"/>
    </row>
    <row r="35" spans="1:22" x14ac:dyDescent="0.25">
      <c r="A35" s="185"/>
      <c r="B35" s="185"/>
      <c r="C35" s="185"/>
      <c r="D35" s="185"/>
      <c r="E35" s="185"/>
      <c r="F35" s="185"/>
      <c r="G35" s="185"/>
      <c r="H35" s="185"/>
      <c r="I35" s="185"/>
      <c r="J35" s="185"/>
      <c r="K35" s="185"/>
      <c r="L35" s="185"/>
      <c r="M35" s="185"/>
      <c r="N35" s="185"/>
      <c r="O35" s="185"/>
      <c r="P35" s="186"/>
    </row>
    <row r="36" spans="1:22" s="151" customFormat="1" ht="15" customHeight="1" x14ac:dyDescent="0.25"/>
    <row r="37" spans="1:22" s="151" customFormat="1" x14ac:dyDescent="0.25">
      <c r="A37" s="130" t="s">
        <v>435</v>
      </c>
    </row>
    <row r="38" spans="1:22" s="151" customFormat="1" ht="45.75" customHeight="1" x14ac:dyDescent="0.25">
      <c r="S38" s="187" t="s">
        <v>436</v>
      </c>
      <c r="T38" s="187"/>
      <c r="U38" s="187"/>
      <c r="V38" s="188"/>
    </row>
    <row r="39" spans="1:22" s="151" customFormat="1" x14ac:dyDescent="0.25">
      <c r="F39" s="131">
        <v>2014</v>
      </c>
      <c r="G39" s="131">
        <v>2015</v>
      </c>
      <c r="H39" s="131">
        <v>2016</v>
      </c>
      <c r="I39" s="131">
        <v>2017</v>
      </c>
      <c r="J39" s="131">
        <v>2018</v>
      </c>
      <c r="K39" s="131">
        <v>2019</v>
      </c>
      <c r="L39" s="131">
        <v>2020</v>
      </c>
      <c r="M39" s="131">
        <v>2021</v>
      </c>
      <c r="N39" s="131">
        <v>2022</v>
      </c>
      <c r="O39" s="131">
        <v>2023</v>
      </c>
      <c r="P39" s="131">
        <v>2024</v>
      </c>
      <c r="Q39" s="131">
        <v>2025</v>
      </c>
      <c r="R39" s="131">
        <v>2026</v>
      </c>
      <c r="S39" s="131">
        <v>2027</v>
      </c>
      <c r="T39" s="131">
        <v>2028</v>
      </c>
      <c r="U39" s="131">
        <v>2029</v>
      </c>
      <c r="V39" s="131">
        <v>2030</v>
      </c>
    </row>
    <row r="40" spans="1:22" s="151" customFormat="1" x14ac:dyDescent="0.25">
      <c r="A40" s="132" t="s">
        <v>437</v>
      </c>
      <c r="B40" s="133"/>
      <c r="C40" s="133"/>
      <c r="D40" s="133"/>
      <c r="E40" s="134"/>
      <c r="F40" s="135">
        <v>5.0599999999999996</v>
      </c>
      <c r="G40" s="135">
        <v>7.59</v>
      </c>
      <c r="H40" s="135">
        <v>10.119999999999999</v>
      </c>
      <c r="I40" s="135">
        <v>12.65</v>
      </c>
      <c r="J40" s="135">
        <v>12.87</v>
      </c>
      <c r="K40" s="135">
        <v>12.87</v>
      </c>
      <c r="L40" s="135">
        <v>14.08</v>
      </c>
      <c r="M40" s="135">
        <v>14.83</v>
      </c>
      <c r="N40" s="135">
        <v>16.32</v>
      </c>
      <c r="O40" s="135">
        <v>19.04</v>
      </c>
      <c r="P40" s="135">
        <v>21.19</v>
      </c>
      <c r="Q40" s="135">
        <v>24.21</v>
      </c>
      <c r="R40" s="135">
        <v>27.33</v>
      </c>
      <c r="S40" s="136">
        <v>27.42</v>
      </c>
      <c r="T40" s="136">
        <v>27.08</v>
      </c>
      <c r="U40" s="136">
        <v>22.47</v>
      </c>
      <c r="V40" s="136">
        <v>19.32</v>
      </c>
    </row>
    <row r="41" spans="1:22" s="151" customFormat="1" x14ac:dyDescent="0.25">
      <c r="A41" s="137" t="s">
        <v>438</v>
      </c>
      <c r="B41" s="138"/>
      <c r="C41" s="138"/>
      <c r="D41" s="138"/>
      <c r="E41" s="139"/>
      <c r="F41" s="189">
        <v>1</v>
      </c>
      <c r="G41" s="189"/>
      <c r="H41" s="189"/>
      <c r="I41" s="189"/>
      <c r="J41" s="189"/>
      <c r="K41" s="189"/>
      <c r="L41" s="140">
        <v>2</v>
      </c>
      <c r="M41" s="140">
        <v>3</v>
      </c>
      <c r="N41" s="140">
        <v>4</v>
      </c>
      <c r="O41" s="140">
        <v>5</v>
      </c>
      <c r="P41" s="140">
        <v>6</v>
      </c>
      <c r="Q41" s="140">
        <v>7</v>
      </c>
      <c r="R41" s="141">
        <v>8</v>
      </c>
      <c r="S41" s="189">
        <v>9</v>
      </c>
      <c r="T41" s="189"/>
      <c r="U41" s="189"/>
      <c r="V41" s="190"/>
    </row>
    <row r="42" spans="1:22" s="151" customFormat="1" ht="15" customHeight="1" x14ac:dyDescent="0.25"/>
    <row r="43" spans="1:22" s="151" customFormat="1" x14ac:dyDescent="0.25">
      <c r="A43" s="142" t="s">
        <v>439</v>
      </c>
    </row>
    <row r="44" spans="1:22" s="151" customFormat="1" x14ac:dyDescent="0.25">
      <c r="A44" s="143">
        <v>1</v>
      </c>
      <c r="B44" s="144" t="s">
        <v>440</v>
      </c>
    </row>
    <row r="45" spans="1:22" s="151" customFormat="1" x14ac:dyDescent="0.25">
      <c r="A45" s="143">
        <v>2</v>
      </c>
      <c r="B45" s="144" t="s">
        <v>433</v>
      </c>
    </row>
    <row r="46" spans="1:22" s="151" customFormat="1" x14ac:dyDescent="0.25">
      <c r="A46" s="143">
        <v>3</v>
      </c>
      <c r="B46" s="144" t="s">
        <v>433</v>
      </c>
    </row>
    <row r="47" spans="1:22" s="151" customFormat="1" x14ac:dyDescent="0.25">
      <c r="A47" s="143">
        <v>4</v>
      </c>
      <c r="B47" s="144" t="s">
        <v>433</v>
      </c>
    </row>
    <row r="48" spans="1:22" s="151" customFormat="1" x14ac:dyDescent="0.25">
      <c r="A48" s="143">
        <v>5</v>
      </c>
      <c r="B48" s="144" t="s">
        <v>433</v>
      </c>
    </row>
    <row r="49" spans="1:2" s="151" customFormat="1" x14ac:dyDescent="0.25">
      <c r="A49" s="143">
        <v>6</v>
      </c>
      <c r="B49" s="144" t="s">
        <v>433</v>
      </c>
    </row>
    <row r="50" spans="1:2" s="151" customFormat="1" x14ac:dyDescent="0.25">
      <c r="A50" s="143">
        <v>7</v>
      </c>
      <c r="B50" s="172" t="s">
        <v>433</v>
      </c>
    </row>
    <row r="51" spans="1:2" s="151" customFormat="1" x14ac:dyDescent="0.25">
      <c r="A51" s="143">
        <v>8</v>
      </c>
      <c r="B51" s="144" t="s">
        <v>433</v>
      </c>
    </row>
    <row r="52" spans="1:2" s="151" customFormat="1" x14ac:dyDescent="0.25">
      <c r="A52" s="143">
        <v>9</v>
      </c>
      <c r="B52" s="172" t="s">
        <v>441</v>
      </c>
    </row>
    <row r="53" spans="1:2" s="151" customFormat="1" ht="15" customHeight="1" x14ac:dyDescent="0.25"/>
    <row r="54" spans="1:2" s="151" customFormat="1" ht="15" customHeight="1" x14ac:dyDescent="0.25"/>
    <row r="55" spans="1:2" s="151" customFormat="1" ht="15" customHeight="1" x14ac:dyDescent="0.25"/>
    <row r="56" spans="1:2" s="151" customFormat="1" ht="15" customHeight="1" x14ac:dyDescent="0.25"/>
    <row r="57" spans="1:2" s="151" customFormat="1" ht="15" customHeight="1" x14ac:dyDescent="0.25"/>
    <row r="58" spans="1:2" s="151" customFormat="1" ht="15" customHeight="1" x14ac:dyDescent="0.25"/>
    <row r="59" spans="1:2" s="151" customFormat="1" ht="15" customHeight="1" x14ac:dyDescent="0.25"/>
    <row r="60" spans="1:2" s="151" customFormat="1" ht="15" customHeight="1" x14ac:dyDescent="0.25"/>
    <row r="61" spans="1:2" s="151" customFormat="1" ht="15" customHeight="1" x14ac:dyDescent="0.25"/>
    <row r="62" spans="1:2" s="151" customFormat="1" ht="15" customHeight="1" x14ac:dyDescent="0.25"/>
    <row r="63" spans="1:2" s="151" customFormat="1" ht="15" customHeight="1" x14ac:dyDescent="0.25"/>
    <row r="64" spans="1:2" s="151" customFormat="1" ht="15" customHeight="1" x14ac:dyDescent="0.25"/>
    <row r="65" s="151" customFormat="1" ht="15" customHeight="1" x14ac:dyDescent="0.25"/>
    <row r="66" s="151" customFormat="1" ht="15" customHeight="1" x14ac:dyDescent="0.25"/>
    <row r="67" s="151" customFormat="1" ht="15" customHeight="1" x14ac:dyDescent="0.25"/>
    <row r="68" s="151" customFormat="1" ht="15" customHeight="1" x14ac:dyDescent="0.25"/>
    <row r="69" s="151" customFormat="1" ht="15" customHeight="1" x14ac:dyDescent="0.25"/>
    <row r="70" s="151" customFormat="1" ht="15" customHeight="1" x14ac:dyDescent="0.25"/>
    <row r="71" s="151" customFormat="1" ht="15" customHeight="1" x14ac:dyDescent="0.25"/>
    <row r="72" s="151" customFormat="1" ht="15" customHeight="1" x14ac:dyDescent="0.25"/>
    <row r="73" s="151" customFormat="1" ht="15" customHeight="1" x14ac:dyDescent="0.25"/>
    <row r="74" s="151" customFormat="1" ht="15" customHeight="1" x14ac:dyDescent="0.25"/>
    <row r="75" s="151" customFormat="1" ht="15" customHeight="1" x14ac:dyDescent="0.25"/>
    <row r="76" s="151" customFormat="1" ht="15" customHeight="1" x14ac:dyDescent="0.25"/>
    <row r="77" s="151" customFormat="1" ht="15" customHeight="1" x14ac:dyDescent="0.25"/>
    <row r="78" s="151" customFormat="1" ht="15" customHeight="1" x14ac:dyDescent="0.25"/>
    <row r="79" s="151" customFormat="1" ht="15" customHeight="1" x14ac:dyDescent="0.25"/>
    <row r="80" s="151" customFormat="1" ht="15" customHeight="1" x14ac:dyDescent="0.25"/>
    <row r="81" s="151" customFormat="1" ht="15" customHeight="1" x14ac:dyDescent="0.25"/>
    <row r="82" s="151" customFormat="1" ht="15" customHeight="1" x14ac:dyDescent="0.25"/>
    <row r="83" s="151" customFormat="1" ht="15" customHeight="1" x14ac:dyDescent="0.25"/>
    <row r="84" s="151" customFormat="1" ht="15" customHeight="1" x14ac:dyDescent="0.25"/>
    <row r="85" s="151" customFormat="1" ht="15" customHeight="1" x14ac:dyDescent="0.25"/>
    <row r="86" s="151" customFormat="1" ht="15" customHeight="1" x14ac:dyDescent="0.25"/>
    <row r="87" s="151" customFormat="1" ht="15" customHeight="1" x14ac:dyDescent="0.25"/>
    <row r="88" s="151" customFormat="1" ht="15" customHeight="1" x14ac:dyDescent="0.25"/>
    <row r="89" s="151" customFormat="1" ht="15" customHeight="1" x14ac:dyDescent="0.25"/>
    <row r="90" s="151" customFormat="1" ht="15" customHeight="1" x14ac:dyDescent="0.25"/>
    <row r="91" s="151" customFormat="1" ht="15" customHeight="1" x14ac:dyDescent="0.25"/>
    <row r="92" s="151" customFormat="1" ht="15" customHeight="1" x14ac:dyDescent="0.25"/>
    <row r="93" s="151" customFormat="1" ht="15" customHeight="1" x14ac:dyDescent="0.25"/>
    <row r="94" s="151" customFormat="1" ht="15" customHeight="1" x14ac:dyDescent="0.25"/>
    <row r="95" s="151" customFormat="1" ht="15" customHeight="1" x14ac:dyDescent="0.25"/>
    <row r="96" s="151" customFormat="1" ht="15" customHeight="1" x14ac:dyDescent="0.25"/>
    <row r="97" s="151" customFormat="1" ht="15" customHeight="1" x14ac:dyDescent="0.25"/>
    <row r="98" s="151" customFormat="1" ht="15" customHeight="1" x14ac:dyDescent="0.25"/>
    <row r="99" s="151" customFormat="1" ht="15" customHeight="1" x14ac:dyDescent="0.25"/>
    <row r="100" s="151" customFormat="1" ht="15" customHeight="1" x14ac:dyDescent="0.25"/>
    <row r="101" s="151" customFormat="1" ht="15" customHeight="1" x14ac:dyDescent="0.25"/>
    <row r="102" s="151" customFormat="1" ht="15" customHeight="1" x14ac:dyDescent="0.25"/>
    <row r="103" s="151" customFormat="1" ht="15" customHeight="1" x14ac:dyDescent="0.25"/>
    <row r="104" s="151" customFormat="1" ht="15" customHeight="1" x14ac:dyDescent="0.25"/>
    <row r="105" s="151" customFormat="1" ht="15" customHeight="1" x14ac:dyDescent="0.25"/>
    <row r="106" s="151" customFormat="1" ht="15" customHeight="1" x14ac:dyDescent="0.25"/>
    <row r="107" s="151" customFormat="1" ht="15" customHeight="1" x14ac:dyDescent="0.25"/>
    <row r="108" s="151" customFormat="1" ht="15" customHeight="1" x14ac:dyDescent="0.25"/>
    <row r="109" s="151" customFormat="1" ht="15" customHeight="1" x14ac:dyDescent="0.25"/>
    <row r="110" s="151" customFormat="1" ht="15" customHeight="1" x14ac:dyDescent="0.25"/>
    <row r="111" s="151" customFormat="1" ht="15" customHeight="1" x14ac:dyDescent="0.25"/>
    <row r="112" s="151" customFormat="1" ht="15" customHeight="1" x14ac:dyDescent="0.25"/>
    <row r="113" s="151" customFormat="1" ht="15" customHeight="1" x14ac:dyDescent="0.25"/>
    <row r="114" s="151" customFormat="1" ht="15" customHeight="1" x14ac:dyDescent="0.25"/>
    <row r="115" s="151" customFormat="1" ht="15" customHeight="1" x14ac:dyDescent="0.25"/>
    <row r="116" s="151" customFormat="1" ht="15" customHeight="1" x14ac:dyDescent="0.25"/>
    <row r="117" s="151" customFormat="1" ht="15" customHeight="1" x14ac:dyDescent="0.25"/>
    <row r="118" s="151" customFormat="1" ht="15" customHeight="1" x14ac:dyDescent="0.25"/>
    <row r="119" s="151" customFormat="1" ht="15" customHeight="1" x14ac:dyDescent="0.25"/>
    <row r="120" s="151" customFormat="1" ht="15" customHeight="1" x14ac:dyDescent="0.25"/>
    <row r="121" s="151" customFormat="1" ht="15" customHeight="1" x14ac:dyDescent="0.25"/>
    <row r="122" s="151" customFormat="1" ht="15" customHeight="1" x14ac:dyDescent="0.25"/>
    <row r="123" s="151" customFormat="1" ht="15" customHeight="1" x14ac:dyDescent="0.25"/>
    <row r="124" s="151" customFormat="1" ht="15" customHeight="1" x14ac:dyDescent="0.25"/>
    <row r="125" s="151" customFormat="1" ht="15" customHeight="1" x14ac:dyDescent="0.25"/>
    <row r="126" s="151" customFormat="1" ht="15" customHeight="1" x14ac:dyDescent="0.25"/>
    <row r="127" s="151" customFormat="1" ht="15" customHeight="1" x14ac:dyDescent="0.25"/>
    <row r="128" s="151" customFormat="1" ht="15" customHeight="1" x14ac:dyDescent="0.25"/>
    <row r="129" s="151" customFormat="1" ht="15" customHeight="1" x14ac:dyDescent="0.25"/>
    <row r="130" s="151" customFormat="1" ht="15" customHeight="1" x14ac:dyDescent="0.25"/>
    <row r="131" s="151" customFormat="1" ht="15" customHeight="1" x14ac:dyDescent="0.25"/>
    <row r="132" s="151" customFormat="1" ht="15" customHeight="1" x14ac:dyDescent="0.25"/>
    <row r="133" s="151" customFormat="1" ht="15" customHeight="1" x14ac:dyDescent="0.25"/>
    <row r="134" s="151" customFormat="1" ht="15" customHeight="1" x14ac:dyDescent="0.25"/>
    <row r="135" s="151" customFormat="1" ht="15" customHeight="1" x14ac:dyDescent="0.25"/>
    <row r="136" s="151" customFormat="1" ht="15" customHeight="1" x14ac:dyDescent="0.25"/>
  </sheetData>
  <mergeCells count="4">
    <mergeCell ref="A24:P35"/>
    <mergeCell ref="S38:V38"/>
    <mergeCell ref="F41:K41"/>
    <mergeCell ref="S41:V41"/>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B2:F45"/>
  <sheetViews>
    <sheetView zoomScaleNormal="100" workbookViewId="0"/>
  </sheetViews>
  <sheetFormatPr baseColWidth="10" defaultColWidth="8.5703125" defaultRowHeight="15" customHeight="1" x14ac:dyDescent="0.25"/>
  <cols>
    <col min="1" max="1" width="3.28515625" style="1" customWidth="1"/>
    <col min="2" max="2" width="8.5703125" style="1"/>
    <col min="3" max="3" width="3.28515625" style="148" customWidth="1"/>
    <col min="4" max="4" width="39.42578125" style="1" customWidth="1"/>
    <col min="5" max="5" width="11.42578125" style="1" customWidth="1"/>
    <col min="6" max="6" width="12.140625" style="1" customWidth="1"/>
    <col min="7" max="7" width="11.42578125" style="1" customWidth="1"/>
    <col min="8" max="16384" width="8.5703125" style="1"/>
  </cols>
  <sheetData>
    <row r="2" spans="2:6" x14ac:dyDescent="0.25">
      <c r="B2" s="145" t="s">
        <v>442</v>
      </c>
      <c r="C2" s="147"/>
    </row>
    <row r="3" spans="2:6" x14ac:dyDescent="0.25">
      <c r="B3" s="2"/>
    </row>
    <row r="4" spans="2:6" x14ac:dyDescent="0.25">
      <c r="C4" s="149" t="s">
        <v>75</v>
      </c>
      <c r="E4" s="10"/>
    </row>
    <row r="5" spans="2:6" x14ac:dyDescent="0.25">
      <c r="C5" s="149"/>
      <c r="D5" s="1" t="s">
        <v>76</v>
      </c>
      <c r="E5" s="10" t="s">
        <v>31</v>
      </c>
      <c r="F5" s="1">
        <f>'Données générales'!F54</f>
        <v>22</v>
      </c>
    </row>
    <row r="6" spans="2:6" x14ac:dyDescent="0.25">
      <c r="C6" s="149"/>
      <c r="D6" s="1" t="s">
        <v>77</v>
      </c>
      <c r="E6" s="10" t="s">
        <v>62</v>
      </c>
      <c r="F6" s="6">
        <f>'Données générales'!F55</f>
        <v>160000</v>
      </c>
    </row>
    <row r="7" spans="2:6" x14ac:dyDescent="0.25">
      <c r="C7" s="149"/>
      <c r="D7" s="1" t="s">
        <v>443</v>
      </c>
      <c r="E7" s="10" t="s">
        <v>62</v>
      </c>
      <c r="F7" s="6">
        <f>F5*F6</f>
        <v>3520000</v>
      </c>
    </row>
    <row r="8" spans="2:6" x14ac:dyDescent="0.25">
      <c r="C8" s="149"/>
      <c r="E8" s="10"/>
      <c r="F8" s="6"/>
    </row>
    <row r="9" spans="2:6" x14ac:dyDescent="0.25">
      <c r="C9" s="149" t="s">
        <v>78</v>
      </c>
    </row>
    <row r="10" spans="2:6" x14ac:dyDescent="0.25">
      <c r="C10" s="149"/>
      <c r="D10" s="1" t="s">
        <v>79</v>
      </c>
      <c r="E10" s="10" t="s">
        <v>62</v>
      </c>
      <c r="F10" s="6">
        <f>'Données générales'!F57</f>
        <v>2000000</v>
      </c>
    </row>
    <row r="11" spans="2:6" x14ac:dyDescent="0.25">
      <c r="C11" s="149"/>
      <c r="E11" s="10"/>
      <c r="F11" s="6"/>
    </row>
    <row r="12" spans="2:6" x14ac:dyDescent="0.25">
      <c r="C12" s="149" t="s">
        <v>80</v>
      </c>
      <c r="E12" s="10"/>
    </row>
    <row r="13" spans="2:6" x14ac:dyDescent="0.25">
      <c r="C13" s="149"/>
      <c r="D13" s="1" t="s">
        <v>444</v>
      </c>
      <c r="E13" s="10" t="s">
        <v>62</v>
      </c>
      <c r="F13" s="6">
        <v>500000</v>
      </c>
    </row>
    <row r="15" spans="2:6" x14ac:dyDescent="0.25">
      <c r="C15" s="149" t="s">
        <v>313</v>
      </c>
    </row>
    <row r="16" spans="2:6" x14ac:dyDescent="0.25">
      <c r="D16" s="1" t="s">
        <v>445</v>
      </c>
      <c r="E16" s="10" t="s">
        <v>62</v>
      </c>
      <c r="F16" s="6">
        <f>F7+F10+F13</f>
        <v>6020000</v>
      </c>
    </row>
    <row r="17" spans="2:6" x14ac:dyDescent="0.25">
      <c r="D17" s="1" t="s">
        <v>446</v>
      </c>
      <c r="E17" s="10" t="s">
        <v>62</v>
      </c>
      <c r="F17" s="6">
        <f>F16*INDEX('Données par OI'!$I$2:$I$58,MATCH(Synthèse!E4,'Données par OI'!$C$2:$C$58,0))/'Données générales'!F4</f>
        <v>0</v>
      </c>
    </row>
    <row r="19" spans="2:6" x14ac:dyDescent="0.25">
      <c r="C19" s="149" t="s">
        <v>42</v>
      </c>
    </row>
    <row r="20" spans="2:6" x14ac:dyDescent="0.25">
      <c r="D20" s="1" t="s">
        <v>322</v>
      </c>
      <c r="E20" s="10" t="s">
        <v>62</v>
      </c>
      <c r="F20" s="30">
        <f>F17*'Données générales'!F49</f>
        <v>0</v>
      </c>
    </row>
    <row r="22" spans="2:6" x14ac:dyDescent="0.25">
      <c r="C22" s="149" t="s">
        <v>19</v>
      </c>
    </row>
    <row r="23" spans="2:6" x14ac:dyDescent="0.25">
      <c r="C23" s="149"/>
      <c r="D23" s="2" t="s">
        <v>323</v>
      </c>
      <c r="E23" s="29" t="s">
        <v>62</v>
      </c>
      <c r="F23" s="7">
        <f>F17+F20</f>
        <v>0</v>
      </c>
    </row>
    <row r="26" spans="2:6" x14ac:dyDescent="0.25">
      <c r="B26" s="2" t="s">
        <v>468</v>
      </c>
    </row>
    <row r="27" spans="2:6" x14ac:dyDescent="0.25">
      <c r="C27" s="149" t="s">
        <v>447</v>
      </c>
    </row>
    <row r="28" spans="2:6" x14ac:dyDescent="0.25">
      <c r="D28" s="1" t="s">
        <v>448</v>
      </c>
      <c r="E28" s="10" t="s">
        <v>62</v>
      </c>
      <c r="F28" s="6">
        <f>'Maintenance curative'!F39+'Maintenance préventive'!F19+'GC hors Orange'!F34+'Autres briques'!F23</f>
        <v>0</v>
      </c>
    </row>
    <row r="29" spans="2:6" x14ac:dyDescent="0.25">
      <c r="D29" s="1" t="s">
        <v>326</v>
      </c>
      <c r="E29" s="27" t="s">
        <v>55</v>
      </c>
      <c r="F29" s="22">
        <f>'Données générales'!F66</f>
        <v>1.4999999999999999E-2</v>
      </c>
    </row>
    <row r="30" spans="2:6" x14ac:dyDescent="0.25">
      <c r="E30" s="27"/>
      <c r="F30" s="22"/>
    </row>
    <row r="31" spans="2:6" x14ac:dyDescent="0.25">
      <c r="C31" s="149" t="s">
        <v>84</v>
      </c>
      <c r="E31" s="27"/>
      <c r="F31" s="22"/>
    </row>
    <row r="32" spans="2:6" x14ac:dyDescent="0.25">
      <c r="D32" s="1" t="s">
        <v>449</v>
      </c>
      <c r="E32" s="10" t="s">
        <v>62</v>
      </c>
      <c r="F32" s="30">
        <f>'Données générales'!F68*'GC hors Orange'!F14*50/1000</f>
        <v>0</v>
      </c>
    </row>
    <row r="33" spans="2:6" x14ac:dyDescent="0.25">
      <c r="D33" s="1" t="s">
        <v>450</v>
      </c>
      <c r="E33" s="10" t="s">
        <v>62</v>
      </c>
      <c r="F33" s="30">
        <f>'GC hors Orange'!F12*'Données générales'!F69</f>
        <v>0</v>
      </c>
    </row>
    <row r="34" spans="2:6" x14ac:dyDescent="0.25">
      <c r="D34" s="1" t="s">
        <v>106</v>
      </c>
      <c r="E34" s="10" t="s">
        <v>62</v>
      </c>
      <c r="F34" s="30">
        <f>'Maintenance préventive'!F5*'Données générales'!F71*'Données générales'!F70</f>
        <v>0</v>
      </c>
    </row>
    <row r="35" spans="2:6" x14ac:dyDescent="0.25">
      <c r="E35" s="27"/>
      <c r="F35" s="22"/>
    </row>
    <row r="36" spans="2:6" x14ac:dyDescent="0.25">
      <c r="C36" s="149" t="s">
        <v>463</v>
      </c>
      <c r="E36" s="10" t="s">
        <v>62</v>
      </c>
      <c r="F36" s="30">
        <f>(F28*F29+SUM(F32:F34))*'Données générales'!F73</f>
        <v>0</v>
      </c>
    </row>
    <row r="37" spans="2:6" x14ac:dyDescent="0.25">
      <c r="E37" s="27"/>
      <c r="F37" s="22"/>
    </row>
    <row r="38" spans="2:6" x14ac:dyDescent="0.25">
      <c r="C38" s="148" t="s">
        <v>451</v>
      </c>
      <c r="E38" s="29" t="s">
        <v>62</v>
      </c>
      <c r="F38" s="7">
        <f>F28*F29+SUM(F32:F34)+F36</f>
        <v>0</v>
      </c>
    </row>
    <row r="41" spans="2:6" x14ac:dyDescent="0.25">
      <c r="B41" s="2" t="s">
        <v>25</v>
      </c>
    </row>
    <row r="43" spans="2:6" x14ac:dyDescent="0.25">
      <c r="D43" s="1" t="s">
        <v>448</v>
      </c>
      <c r="E43" s="10" t="s">
        <v>62</v>
      </c>
      <c r="F43" s="6">
        <f>'Maintenance curative'!F39+'Maintenance préventive'!F19+'GC hors Orange'!F34+'Autres briques'!F23+F38</f>
        <v>0</v>
      </c>
    </row>
    <row r="44" spans="2:6" x14ac:dyDescent="0.25">
      <c r="D44" s="1" t="s">
        <v>326</v>
      </c>
      <c r="E44" s="27" t="s">
        <v>55</v>
      </c>
      <c r="F44" s="22">
        <f>'Données générales'!F88</f>
        <v>0.08</v>
      </c>
    </row>
    <row r="45" spans="2:6" x14ac:dyDescent="0.25">
      <c r="B45" s="2"/>
      <c r="C45" s="149"/>
      <c r="D45" s="2" t="s">
        <v>25</v>
      </c>
      <c r="E45" s="29" t="s">
        <v>62</v>
      </c>
      <c r="F45" s="7">
        <f>F43*F44</f>
        <v>0</v>
      </c>
    </row>
  </sheetData>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B2:F17"/>
  <sheetViews>
    <sheetView zoomScaleNormal="100" workbookViewId="0"/>
  </sheetViews>
  <sheetFormatPr baseColWidth="10" defaultColWidth="8.5703125" defaultRowHeight="15" customHeight="1" x14ac:dyDescent="0.25"/>
  <cols>
    <col min="1" max="1" width="3.28515625" style="1" customWidth="1"/>
    <col min="2" max="2" width="8.5703125" style="1"/>
    <col min="3" max="3" width="3.28515625" style="1" customWidth="1"/>
    <col min="4" max="4" width="46.85546875" style="1" customWidth="1"/>
    <col min="5" max="5" width="11.42578125" style="1" customWidth="1"/>
    <col min="6" max="6" width="12.140625" style="1" customWidth="1"/>
    <col min="7" max="7" width="11.42578125" style="1" customWidth="1"/>
    <col min="8" max="16384" width="8.5703125" style="1"/>
  </cols>
  <sheetData>
    <row r="2" spans="2:6" x14ac:dyDescent="0.25">
      <c r="B2" s="2" t="s">
        <v>14</v>
      </c>
    </row>
    <row r="3" spans="2:6" x14ac:dyDescent="0.25">
      <c r="B3" s="2"/>
    </row>
    <row r="4" spans="2:6" x14ac:dyDescent="0.25">
      <c r="C4" s="14" t="s">
        <v>452</v>
      </c>
      <c r="E4" s="10"/>
    </row>
    <row r="5" spans="2:6" x14ac:dyDescent="0.25">
      <c r="C5" s="14"/>
      <c r="D5" s="1" t="s">
        <v>453</v>
      </c>
      <c r="E5" s="10" t="s">
        <v>454</v>
      </c>
      <c r="F5" s="11">
        <f>INDEX('Données par OI'!$O$2:$O$58,MATCH(Synthèse!E4,'Données par OI'!$C$2:$C$58,0))</f>
        <v>1810.72895299829</v>
      </c>
    </row>
    <row r="6" spans="2:6" x14ac:dyDescent="0.25">
      <c r="C6" s="14"/>
      <c r="D6" s="1" t="s">
        <v>455</v>
      </c>
      <c r="E6" s="10" t="s">
        <v>454</v>
      </c>
      <c r="F6" s="11">
        <f>INDEX('Données par OI'!$P$2:$P$58,MATCH(Synthèse!E4,'Données par OI'!$C$2:$C$58,0))</f>
        <v>998.36410649644802</v>
      </c>
    </row>
    <row r="7" spans="2:6" x14ac:dyDescent="0.25">
      <c r="C7" s="14"/>
      <c r="D7" s="1" t="s">
        <v>456</v>
      </c>
      <c r="E7" s="10" t="s">
        <v>454</v>
      </c>
      <c r="F7" s="11">
        <f>INDEX('Données par OI'!$Q$2:$Q$58,MATCH(Synthèse!E4,'Données par OI'!$C$2:$C$58,0))</f>
        <v>53.6653820833493</v>
      </c>
    </row>
    <row r="8" spans="2:6" x14ac:dyDescent="0.25">
      <c r="C8" s="14"/>
      <c r="D8" s="1" t="s">
        <v>457</v>
      </c>
      <c r="E8" s="10" t="s">
        <v>454</v>
      </c>
      <c r="F8" s="11">
        <f>INDEX('Données par OI'!$R$2:$R$58,MATCH(Synthèse!E4,'Données par OI'!$C$2:$C$58,0))</f>
        <v>19.456260554721201</v>
      </c>
    </row>
    <row r="9" spans="2:6" x14ac:dyDescent="0.25">
      <c r="C9" s="14"/>
      <c r="E9" s="10"/>
      <c r="F9" s="6"/>
    </row>
    <row r="10" spans="2:6" x14ac:dyDescent="0.25">
      <c r="C10" s="14" t="s">
        <v>458</v>
      </c>
    </row>
    <row r="11" spans="2:6" x14ac:dyDescent="0.25">
      <c r="C11" s="14"/>
      <c r="D11" s="56" t="s">
        <v>92</v>
      </c>
      <c r="E11" s="10" t="s">
        <v>62</v>
      </c>
      <c r="F11" s="6">
        <f>F5*'Données générales'!F78</f>
        <v>362145.79059965798</v>
      </c>
    </row>
    <row r="12" spans="2:6" x14ac:dyDescent="0.25">
      <c r="C12" s="14"/>
      <c r="D12" s="56" t="s">
        <v>95</v>
      </c>
      <c r="E12" s="10" t="s">
        <v>62</v>
      </c>
      <c r="F12" s="6">
        <f>SUM(F6:F8)*'Données générales'!F80*'Données générales'!F81</f>
        <v>267871.43728362961</v>
      </c>
    </row>
    <row r="13" spans="2:6" x14ac:dyDescent="0.25">
      <c r="C13" s="14"/>
      <c r="D13" s="56" t="s">
        <v>459</v>
      </c>
      <c r="E13" s="10" t="s">
        <v>62</v>
      </c>
      <c r="F13" s="6">
        <f>F5*'Données générales'!F83</f>
        <v>108643.73717989741</v>
      </c>
    </row>
    <row r="15" spans="2:6" x14ac:dyDescent="0.25">
      <c r="C15" s="14" t="s">
        <v>19</v>
      </c>
    </row>
    <row r="16" spans="2:6" x14ac:dyDescent="0.25">
      <c r="C16" s="14"/>
      <c r="D16" s="2" t="s">
        <v>323</v>
      </c>
      <c r="E16" s="29" t="s">
        <v>62</v>
      </c>
      <c r="F16" s="7">
        <f>SUM(F11:F13)</f>
        <v>738660.96506318497</v>
      </c>
    </row>
    <row r="17" x14ac:dyDescent="0.25"/>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Page de garde</vt:lpstr>
      <vt:lpstr>Synthèse</vt:lpstr>
      <vt:lpstr>1. Données d'entrée</vt:lpstr>
      <vt:lpstr>Données générales</vt:lpstr>
      <vt:lpstr>Données par OI</vt:lpstr>
      <vt:lpstr>2. Calculs par brique</vt:lpstr>
      <vt:lpstr>Maintenance préventive</vt:lpstr>
      <vt:lpstr>Maintenance curative</vt:lpstr>
      <vt:lpstr>GC Orange (iBLO)</vt:lpstr>
      <vt:lpstr>GC hors Orange</vt:lpstr>
      <vt:lpstr>IFER</vt:lpstr>
      <vt:lpstr>Autres briques</vt:lpstr>
      <vt:lpstr>Extensions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revision>1</cp:revision>
  <dcterms:created xsi:type="dcterms:W3CDTF">2026-10-15T12:33:47Z</dcterms:created>
  <dcterms:modified xsi:type="dcterms:W3CDTF">2026-10-15T12:33:56Z</dcterms:modified>
  <dc:language/>
</cp:coreProperties>
</file>