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60" windowWidth="17580" windowHeight="12405" tabRatio="909" activeTab="0"/>
  </bookViews>
  <sheets>
    <sheet name="lexique" sheetId="1" r:id="rId1"/>
    <sheet name="Profils d'appel" sheetId="2" r:id="rId2"/>
    <sheet name="Tarifs de détail FT" sheetId="3" r:id="rId3"/>
    <sheet name="Recettes" sheetId="4" r:id="rId4"/>
    <sheet name="Tarifs d'interconnexion" sheetId="5" r:id="rId5"/>
    <sheet name="Hypothèses coûts" sheetId="6" r:id="rId6"/>
    <sheet name="Coût collecte" sheetId="7" r:id="rId7"/>
    <sheet name="Coût transport" sheetId="8" r:id="rId8"/>
    <sheet name="Coût terminaison" sheetId="9" r:id="rId9"/>
    <sheet name="Restitution" sheetId="10" r:id="rId10"/>
  </sheets>
  <externalReferences>
    <externalReference r:id="rId13"/>
  </externalReferences>
  <definedNames>
    <definedName name="BPNCAA">'Tarifs d''interconnexion'!$H$17</definedName>
    <definedName name="BPNLRO">'Tarifs d''interconnexion'!$H$18</definedName>
    <definedName name="BPNPRO">'Tarifs d''interconnexion'!$H$18</definedName>
    <definedName name="CACAAHBN">'Tarifs d''interconnexion'!$H$7</definedName>
    <definedName name="CACAAHC">'Tarifs d''interconnexion'!$H$6</definedName>
    <definedName name="CACAAHP">'Tarifs d''interconnexion'!$H$5</definedName>
    <definedName name="CAPROHBN">'Tarifs d''interconnexion'!$H$13</definedName>
    <definedName name="CAPROHC">'Tarifs d''interconnexion'!$H$12</definedName>
    <definedName name="CAPROHP">'Tarifs d''interconnexion'!$H$11</definedName>
    <definedName name="coutBPN">'Coût collecte'!$G$22</definedName>
    <definedName name="COUTBPNT">'Coût terminaison'!$G$22</definedName>
    <definedName name="COUTLBPNT">'Coût terminaison'!#REF!</definedName>
    <definedName name="coutLRO">'Coût collecte'!$G$40</definedName>
    <definedName name="COUTLROT">'Coût terminaison'!$G$22</definedName>
    <definedName name="FASLRO">'Tarifs d''interconnexion'!$H$21</definedName>
    <definedName name="FASLRO12">'Tarifs d''interconnexion'!$H$22</definedName>
    <definedName name="fgsdgsd">'[1]Index'!$G$871:$Z$1002</definedName>
    <definedName name="id">'Restitution'!$E$11</definedName>
    <definedName name="index">'Restitution'!#REF!</definedName>
    <definedName name="index1">'Restitution'!$E$6</definedName>
    <definedName name="index2">'Restitution'!$E$10</definedName>
    <definedName name="index3">'[1]Index'!$G$871:$Z$1002</definedName>
    <definedName name="index4">'[1]Index'!$G$871:$Z$1002</definedName>
    <definedName name="jklkhjlhjkl">'[1]Index'!$G$871:$Z$1002</definedName>
    <definedName name="LONGLROCAA">'Hypothèses coûts'!$D$55</definedName>
    <definedName name="LONGLROPRO">'Hypothèses coûts'!$D$56</definedName>
    <definedName name="LROCAAFIX">'Tarifs d''interconnexion'!$H$24</definedName>
    <definedName name="LROCAAKM">'Tarifs d''interconnexion'!$H$25</definedName>
    <definedName name="LROPROFIX">'Tarifs d''interconnexion'!$H$26</definedName>
    <definedName name="LROPROVAR">'Tarifs d''interconnexion'!$H$27</definedName>
    <definedName name="PVCAAHBN">'Tarifs d''interconnexion'!$H$10</definedName>
    <definedName name="PVCAAHC">'Tarifs d''interconnexion'!$H$9</definedName>
    <definedName name="PVCAAHP">'Tarifs d''interconnexion'!$H$8</definedName>
    <definedName name="PVPROHBN">'Tarifs d''interconnexion'!$H$16</definedName>
    <definedName name="PVPROHC">'Tarifs d''interconnexion'!$H$15</definedName>
    <definedName name="PVPROHP">'Tarifs d''interconnexion'!$H$14</definedName>
    <definedName name="REDLRO12">'Tarifs d''interconnexion'!$H$23</definedName>
    <definedName name="REPCAA">'Hypothèses coûts'!$D$52</definedName>
    <definedName name="REPPRO">'Hypothèses coûts'!$D$53</definedName>
    <definedName name="Taux_CCommun">'Hypothèses coûts'!$D$31</definedName>
    <definedName name="Taux_SU">'Hypothèses coûts'!$D$34</definedName>
    <definedName name="_xlnm.Print_Area" localSheetId="9">'Restitution'!$B$1:$P$47</definedName>
  </definedNames>
  <calcPr fullCalcOnLoad="1"/>
</workbook>
</file>

<file path=xl/sharedStrings.xml><?xml version="1.0" encoding="utf-8"?>
<sst xmlns="http://schemas.openxmlformats.org/spreadsheetml/2006/main" count="877" uniqueCount="295">
  <si>
    <t>Profils de communications</t>
  </si>
  <si>
    <t>Distinction selon les plages horaires du tarif de détail</t>
  </si>
  <si>
    <t>Répartition</t>
  </si>
  <si>
    <t>Durée moy.</t>
  </si>
  <si>
    <t xml:space="preserve">Durée </t>
  </si>
  <si>
    <t>Appels inférieurs au CT</t>
  </si>
  <si>
    <t>en volume</t>
  </si>
  <si>
    <t>en sec.</t>
  </si>
  <si>
    <t>crédit-temps</t>
  </si>
  <si>
    <t xml:space="preserve">% </t>
  </si>
  <si>
    <t>d'appels</t>
  </si>
  <si>
    <t>Résidentiels</t>
  </si>
  <si>
    <t xml:space="preserve">Prix Normal </t>
  </si>
  <si>
    <t>CT (sec.)</t>
  </si>
  <si>
    <t>Prix Réduit</t>
  </si>
  <si>
    <t>Total ou Moyenne</t>
  </si>
  <si>
    <t>Prix Jour</t>
  </si>
  <si>
    <t>Prix Nuit</t>
  </si>
  <si>
    <t>Communications Locales</t>
  </si>
  <si>
    <t>Communications vers les Mobiles</t>
  </si>
  <si>
    <t>icxN</t>
  </si>
  <si>
    <t>detN</t>
  </si>
  <si>
    <t>icxR</t>
  </si>
  <si>
    <t>icxBN</t>
  </si>
  <si>
    <t>detR</t>
  </si>
  <si>
    <t>Prix d'établissement d'appel (c€ HT)</t>
  </si>
  <si>
    <t>Crédit temps</t>
  </si>
  <si>
    <t>durée  (s)</t>
  </si>
  <si>
    <t>TN</t>
  </si>
  <si>
    <t>TR</t>
  </si>
  <si>
    <t>Local</t>
  </si>
  <si>
    <t>Interurbain</t>
  </si>
  <si>
    <t>Bouygues Télécom</t>
  </si>
  <si>
    <t>% minutes</t>
  </si>
  <si>
    <t>tarif/minute</t>
  </si>
  <si>
    <t>en min.</t>
  </si>
  <si>
    <t xml:space="preserve">  durée moyenne (dm)</t>
  </si>
  <si>
    <t xml:space="preserve"> dm &lt; CT (crédit temps)</t>
  </si>
  <si>
    <t>% appels &lt; CT</t>
  </si>
  <si>
    <t>Valeur CT</t>
  </si>
  <si>
    <t xml:space="preserve">            durée CT</t>
  </si>
  <si>
    <t>TJ</t>
  </si>
  <si>
    <t xml:space="preserve">Recette </t>
  </si>
  <si>
    <t>Charge d'établissement d'appel</t>
  </si>
  <si>
    <t>CAA</t>
  </si>
  <si>
    <t>HP</t>
  </si>
  <si>
    <t>€ HT/appel</t>
  </si>
  <si>
    <t>HC</t>
  </si>
  <si>
    <t>HBN</t>
  </si>
  <si>
    <t>Partie variable</t>
  </si>
  <si>
    <t>€ HT/min.</t>
  </si>
  <si>
    <t>PRO</t>
  </si>
  <si>
    <t>Coûts BPN</t>
  </si>
  <si>
    <t>€ HT/an</t>
  </si>
  <si>
    <t>LRO</t>
  </si>
  <si>
    <t>FAS</t>
  </si>
  <si>
    <t>€ HT</t>
  </si>
  <si>
    <t>LRO à partir 12 liens</t>
  </si>
  <si>
    <t>Réduction annuelle par lien</t>
  </si>
  <si>
    <t>Abonnement</t>
  </si>
  <si>
    <t>fixe</t>
  </si>
  <si>
    <t>par km</t>
  </si>
  <si>
    <t>€ HT/mois</t>
  </si>
  <si>
    <t>Terminaison</t>
  </si>
  <si>
    <t>Orange France</t>
  </si>
  <si>
    <t>SFR</t>
  </si>
  <si>
    <t>(€HT/an)</t>
  </si>
  <si>
    <t>€HT</t>
  </si>
  <si>
    <t>€HT/an</t>
  </si>
  <si>
    <t>Redevance annuelle par cellule</t>
  </si>
  <si>
    <t xml:space="preserve">Colocalisation </t>
  </si>
  <si>
    <t>€HT/trimestre</t>
  </si>
  <si>
    <t>Lexique</t>
  </si>
  <si>
    <t>Tarif Normal</t>
  </si>
  <si>
    <t>Tarif Réduit</t>
  </si>
  <si>
    <t>TBN</t>
  </si>
  <si>
    <t>Tarif Bleu nuit</t>
  </si>
  <si>
    <t>LD</t>
  </si>
  <si>
    <t>Longue Distance</t>
  </si>
  <si>
    <t>Commutateur à Autonomie d’Acheminement ou commutateur d’abonnés</t>
  </si>
  <si>
    <t>Point de Raccordement Opérateur</t>
  </si>
  <si>
    <t>Liaison de Raccordement Opérateur</t>
  </si>
  <si>
    <t>Frais d'accès au service</t>
  </si>
  <si>
    <t>BPN</t>
  </si>
  <si>
    <t>Bloc Primaire Numérique</t>
  </si>
  <si>
    <t>LL</t>
  </si>
  <si>
    <t>Liaison Louée</t>
  </si>
  <si>
    <t>Les données en noir sont des informations entrées dans le modèle</t>
  </si>
  <si>
    <t>Les données en bleu sont le résultat d'un traitement par le modèle</t>
  </si>
  <si>
    <t>Hypothèses relatives au calcul des coûts de transport</t>
  </si>
  <si>
    <t>Coût</t>
  </si>
  <si>
    <t>Occupation des BPN</t>
  </si>
  <si>
    <t>Mmin/an</t>
  </si>
  <si>
    <t>Equivalent 2Mbit/155 Mbit</t>
  </si>
  <si>
    <t>Longueur moyenne</t>
  </si>
  <si>
    <t>km</t>
  </si>
  <si>
    <t>Durée d'amortissement des FAS</t>
  </si>
  <si>
    <t>ans</t>
  </si>
  <si>
    <t>Coûts commerciaux</t>
  </si>
  <si>
    <t>% des coûts propres de l'opérateur (hors coûts d'interconnexion)</t>
  </si>
  <si>
    <t>Taux de connexion au CAA (% trafic)</t>
  </si>
  <si>
    <t>Taux de connexion au PRO (% trafic)</t>
  </si>
  <si>
    <t>Longueur des LRO CAA</t>
  </si>
  <si>
    <t>Longueur des LRO PRO</t>
  </si>
  <si>
    <t>% bénéficiant de la réduc. au-delà du 12 éme lien LRO</t>
  </si>
  <si>
    <t>Charge d'établissement d'appel par minute</t>
  </si>
  <si>
    <t>c€HT/min</t>
  </si>
  <si>
    <t>pondéré</t>
  </si>
  <si>
    <t>plage détail TNormal -&gt; plage icx TNormal</t>
  </si>
  <si>
    <t>plage détail TRéduit -&gt; plage icx TRéduit</t>
  </si>
  <si>
    <t>plage détail TRéduit -&gt; plage icx TBleuNuit</t>
  </si>
  <si>
    <t>plage détail TJour -&gt; plage icx TNormal</t>
  </si>
  <si>
    <t>plage détail TJour -&gt; plage icx TRéduit</t>
  </si>
  <si>
    <t>plage détail TNuit-&gt; plage icx TBleuNuit</t>
  </si>
  <si>
    <t>R</t>
  </si>
  <si>
    <t>P + E ps</t>
  </si>
  <si>
    <t>Vers Mobiles</t>
  </si>
  <si>
    <t>P + E</t>
  </si>
  <si>
    <t>c€ HT/min</t>
  </si>
  <si>
    <t>Coût BPN</t>
  </si>
  <si>
    <t>Coût LRO/an</t>
  </si>
  <si>
    <t>FAS + Abo.</t>
  </si>
  <si>
    <t>Transport</t>
  </si>
  <si>
    <r>
      <t xml:space="preserve">Terminaison  Mobile - </t>
    </r>
    <r>
      <rPr>
        <i/>
        <sz val="8"/>
        <color indexed="9"/>
        <rFont val="Arial"/>
        <family val="2"/>
      </rPr>
      <t>Résidentiels, Professionnels, Entreprises Petits sites et Grands sites</t>
    </r>
  </si>
  <si>
    <t>Transmission Locale</t>
  </si>
  <si>
    <t>c€/min</t>
  </si>
  <si>
    <t>Commutation</t>
  </si>
  <si>
    <t>Communication Locales</t>
  </si>
  <si>
    <t>Communications Interurbaines</t>
  </si>
  <si>
    <t>Communications fixe vers Mobiles</t>
  </si>
  <si>
    <t>Coût unitaire</t>
  </si>
  <si>
    <t>Coûts</t>
  </si>
  <si>
    <t>Nombre de commutations</t>
  </si>
  <si>
    <t>Transport en local :</t>
  </si>
  <si>
    <t>Transport en LD :</t>
  </si>
  <si>
    <t>Hypothèses de transport fixe vers mobile:</t>
  </si>
  <si>
    <t>Pondération</t>
  </si>
  <si>
    <t>Répartition entre Local et Interurbain</t>
  </si>
  <si>
    <t>Transmission</t>
  </si>
  <si>
    <t>Facteur de transmission</t>
  </si>
  <si>
    <t>Equivalent 2 Mbit/s</t>
  </si>
  <si>
    <t>Coût/BPN</t>
  </si>
  <si>
    <t>Remplissage BPN/an</t>
  </si>
  <si>
    <t>Coût LL/minute</t>
  </si>
  <si>
    <t>Coût transmission Longue Distance</t>
  </si>
  <si>
    <t>€ HT/min</t>
  </si>
  <si>
    <t>minutes/an</t>
  </si>
  <si>
    <t>vers Orange</t>
  </si>
  <si>
    <t>vers SFR</t>
  </si>
  <si>
    <t>vers Bouygues Télécom</t>
  </si>
  <si>
    <t>Orange</t>
  </si>
  <si>
    <t>Prix par BPN</t>
  </si>
  <si>
    <t>c€HT /min</t>
  </si>
  <si>
    <t>Colocalisation</t>
  </si>
  <si>
    <t>Coûts communs</t>
  </si>
  <si>
    <t>Service Universel</t>
  </si>
  <si>
    <t>Coût LRO/min</t>
  </si>
  <si>
    <t>Charge à l'appel</t>
  </si>
  <si>
    <t>Partie à la minute</t>
  </si>
  <si>
    <t>Collecte</t>
  </si>
  <si>
    <t>Total coûts</t>
  </si>
  <si>
    <t>Marge</t>
  </si>
  <si>
    <t>Taux de marge</t>
  </si>
  <si>
    <t>Professionnels
Entreprises petits sites</t>
  </si>
  <si>
    <t>Entreprises
Grands sites</t>
  </si>
  <si>
    <t>Pro et petits sites</t>
  </si>
  <si>
    <t>Entreprises grands sites</t>
  </si>
  <si>
    <t>HP + HC</t>
  </si>
  <si>
    <t>Profils d'appels</t>
  </si>
  <si>
    <t>Tarif de détail FT</t>
  </si>
  <si>
    <t>Recettes</t>
  </si>
  <si>
    <t>Tarifs d'interconnexion</t>
  </si>
  <si>
    <t>Hypothèses coûts</t>
  </si>
  <si>
    <t>Restitution</t>
  </si>
  <si>
    <t>POP</t>
  </si>
  <si>
    <t>Point de présence opérateur</t>
  </si>
  <si>
    <t>Tarif par minute c€ HT</t>
  </si>
  <si>
    <t>Tarifs offres de référence opérateurs mobiles</t>
  </si>
  <si>
    <t>Durée d'amortissement des FAS LRO</t>
  </si>
  <si>
    <t>Durée d'amortissement des FAS colocalisation</t>
  </si>
  <si>
    <t>Orange et SFR</t>
  </si>
  <si>
    <t>Moyenne (c€/min)</t>
  </si>
  <si>
    <t>Colocalisation dans les locaux de Bouygues Telecom</t>
  </si>
  <si>
    <t>Tarifs de détail de France Télécom (tarifs de base)</t>
  </si>
  <si>
    <r>
      <t xml:space="preserve">Calcul des coûts de collecte - </t>
    </r>
    <r>
      <rPr>
        <i/>
        <sz val="8"/>
        <color indexed="9"/>
        <rFont val="Arial"/>
        <family val="2"/>
      </rPr>
      <t>Résidentiels, Professionnels, Entreprises Petits sites</t>
    </r>
  </si>
  <si>
    <t>Durée d'amortissement</t>
  </si>
  <si>
    <t>Prix d'accès</t>
  </si>
  <si>
    <t>Prix de base</t>
  </si>
  <si>
    <t>Accès Primaire Numéris</t>
  </si>
  <si>
    <t>Nombre de canaux B</t>
  </si>
  <si>
    <t>Prix mens d'abo/canal B</t>
  </si>
  <si>
    <t>Abonnement annuel</t>
  </si>
  <si>
    <t>Abo+FAS annuel</t>
  </si>
  <si>
    <t>coeff longueur</t>
  </si>
  <si>
    <t>Ramené à la minute</t>
  </si>
  <si>
    <t>Hypothèses spécifiques sur les coûts  de raccordement direct Entreprises - Grands sites</t>
  </si>
  <si>
    <t>Coût par minute</t>
  </si>
  <si>
    <t>Coûts commerciaux Numéris</t>
  </si>
  <si>
    <t>Coût net unitaire</t>
  </si>
  <si>
    <t>Prix annuel/site</t>
  </si>
  <si>
    <t>Coût site</t>
  </si>
  <si>
    <t>Nombre de BPN par point de raccordement</t>
  </si>
  <si>
    <t>Coût propre de fourniture d'un accès primaire</t>
  </si>
  <si>
    <t>BPN à la minute</t>
  </si>
  <si>
    <t>Option GTR 4h  abonnement mensuel</t>
  </si>
  <si>
    <t>Somme des coûts</t>
  </si>
  <si>
    <t>Somme des coûts - équivalents revenus</t>
  </si>
  <si>
    <t>Remplissagede liaison louée 2048kbit/s</t>
  </si>
  <si>
    <t>Coûts commerciaux supportés pour la foruniture de l'accès primaire</t>
  </si>
  <si>
    <t>Coût propre de l'opérateur pour fournir un accès primaire</t>
  </si>
  <si>
    <t>Hypothèses relatives à la répartition des appels vers les réseaux fixes entre France Télécom et les autres opérateurs</t>
  </si>
  <si>
    <t>% d'appel vers les numéros géographiques de France Télécom</t>
  </si>
  <si>
    <t>Terminaison d'appel opérateur alternatif</t>
  </si>
  <si>
    <t>% d'appels portés</t>
  </si>
  <si>
    <r>
      <t xml:space="preserve">Terminaison  Fixe - </t>
    </r>
    <r>
      <rPr>
        <i/>
        <sz val="8"/>
        <color indexed="9"/>
        <rFont val="Arial"/>
        <family val="2"/>
      </rPr>
      <t>Résidentiels, Professionnels, Entreprises Petits sites et Grands sites</t>
    </r>
  </si>
  <si>
    <t>Charge d'établissement d'appel par minute FT</t>
  </si>
  <si>
    <t>Charge d'établissement d'appel par minute tout opérateur</t>
  </si>
  <si>
    <t>Partie variable FT</t>
  </si>
  <si>
    <t>Partie variable tout opérateur</t>
  </si>
  <si>
    <t>Surcharge TA alternatifs</t>
  </si>
  <si>
    <t>Professionnels et entreprises</t>
  </si>
  <si>
    <t>Tarifs offre de référence "communications" France Télécom</t>
  </si>
  <si>
    <t>LPT locale</t>
  </si>
  <si>
    <t>LPT 2 Mbit/s &lt;10 km</t>
  </si>
  <si>
    <t>€ HT / mois</t>
  </si>
  <si>
    <t>GTR option 2</t>
  </si>
  <si>
    <t>Téléphonie</t>
  </si>
  <si>
    <t>Coût annuel LPT avec GTR</t>
  </si>
  <si>
    <t>Remplissage LPT</t>
  </si>
  <si>
    <t>mensuel</t>
  </si>
  <si>
    <t>GTR</t>
  </si>
  <si>
    <t>Valeur retenue pour la colocalisation</t>
  </si>
  <si>
    <t>Proportion de colocalisation</t>
  </si>
  <si>
    <t>cf. collecte</t>
  </si>
  <si>
    <t>€/BPN/an</t>
  </si>
  <si>
    <t>Coût par BPN et par an</t>
  </si>
  <si>
    <t>LI</t>
  </si>
  <si>
    <t>Prix / LRO</t>
  </si>
  <si>
    <t>Coût LI/min</t>
  </si>
  <si>
    <t>Proportion de LRO</t>
  </si>
  <si>
    <t>Proportion de LI</t>
  </si>
  <si>
    <t>Coût LRO/LI/Colocalisation</t>
  </si>
  <si>
    <t>CT</t>
  </si>
  <si>
    <t>Prix LI par rapport à prix LRO</t>
  </si>
  <si>
    <t>Recette de base</t>
  </si>
  <si>
    <t>LR/colocalisation</t>
  </si>
  <si>
    <t>Coût transmission Longue Distance + Locale</t>
  </si>
  <si>
    <t>Grand compte</t>
  </si>
  <si>
    <t>Liste des onglets</t>
  </si>
  <si>
    <t>Colocalisation dans les locaux de Orange</t>
  </si>
  <si>
    <t>Colocalisation dans les locaux de SFR</t>
  </si>
  <si>
    <t>(c€/min HT)</t>
  </si>
  <si>
    <t xml:space="preserve">Terminaison </t>
  </si>
  <si>
    <t>Ratio</t>
  </si>
  <si>
    <t xml:space="preserve">Voir la décision n° 05-0472 de l’Autorité de régulation des communications électroniques et des postes en date du 21 juin 2005 fixant les évaluations définitives du coût du service universel et les contributions des opérateurs pour l’année 2003.
</t>
  </si>
  <si>
    <t>Lliaison  LPT 2048 kbit/s</t>
  </si>
  <si>
    <t>Liaison LPT 2048 kbit/s</t>
  </si>
  <si>
    <t>(le montant de l'accès est rémunéré directement par le client final)</t>
  </si>
  <si>
    <t xml:space="preserve">Equivalent revenus </t>
  </si>
  <si>
    <t>Coûts et équivalent revenu</t>
  </si>
  <si>
    <t>Coûts nets</t>
  </si>
  <si>
    <t>Bouygues T.</t>
  </si>
  <si>
    <t>Remplissage accès primaire</t>
  </si>
  <si>
    <t>c€/appel</t>
  </si>
  <si>
    <t>Taux "grand compte"</t>
  </si>
  <si>
    <t>Communications vers les mobiles (Orange et SFR)</t>
  </si>
  <si>
    <t>Communications vers les mobiles (Bouygues Télécom)</t>
  </si>
  <si>
    <t>Vers mobile</t>
  </si>
  <si>
    <t>Backbone 155 Mbit/s FAS</t>
  </si>
  <si>
    <t>Backbone 155 Mbit/s GTR</t>
  </si>
  <si>
    <t>Bouygues Telecom</t>
  </si>
  <si>
    <t>Unité : c€/min</t>
  </si>
  <si>
    <t>Communications vers les mobiles</t>
  </si>
  <si>
    <t>Coûts BPN - Colocalisation</t>
  </si>
  <si>
    <t>Liaison Raccordement</t>
  </si>
  <si>
    <t>Coûts de versement au fonds de service universel</t>
  </si>
  <si>
    <t>Coûts commerciaux - Coûts communs - Coûts service universel</t>
  </si>
  <si>
    <t>Hypothèses relatives à la collecte et terminaison par interconnexion</t>
  </si>
  <si>
    <t>Interconnexion France Télécom</t>
  </si>
  <si>
    <t>Raccordement opérateur mobile</t>
  </si>
  <si>
    <r>
      <t xml:space="preserve">Coût de portage </t>
    </r>
    <r>
      <rPr>
        <sz val="6"/>
        <rFont val="Arial"/>
        <family val="2"/>
      </rPr>
      <t>(Acheminement du CA FT vers CT FT d'interface avec opérateur preneur)</t>
    </r>
  </si>
  <si>
    <r>
      <t xml:space="preserve">Calcul des coûts de collecte - </t>
    </r>
    <r>
      <rPr>
        <i/>
        <sz val="8"/>
        <color indexed="9"/>
        <rFont val="Arial"/>
        <family val="2"/>
      </rPr>
      <t>Entreprises Grands sites</t>
    </r>
  </si>
  <si>
    <t>Backbone 155 Mbit/s abo mensuel</t>
  </si>
  <si>
    <r>
      <t xml:space="preserve">Transport interurbain à 155 Mbit/s </t>
    </r>
    <r>
      <rPr>
        <sz val="8"/>
        <rFont val="Arial"/>
        <family val="2"/>
      </rPr>
      <t>(achat d'un backbone)</t>
    </r>
  </si>
  <si>
    <t>Backbone 155 Mbit/sGTR</t>
  </si>
  <si>
    <t>Backbone 155 Mbit/s annuel</t>
  </si>
  <si>
    <t>BPN - LRO / LI / colocalisation</t>
  </si>
  <si>
    <t>(c€ /min HT)</t>
  </si>
  <si>
    <t>Remplissage des BPN</t>
  </si>
  <si>
    <t>Nombre de BPN par site</t>
  </si>
  <si>
    <t>Amortissement</t>
  </si>
  <si>
    <t>Location</t>
  </si>
  <si>
    <t>(c€)</t>
  </si>
  <si>
    <t>Accès primaire Numéris</t>
  </si>
  <si>
    <t>Coût de la LPT</t>
  </si>
</sst>
</file>

<file path=xl/styles.xml><?xml version="1.0" encoding="utf-8"?>
<styleSheet xmlns="http://schemas.openxmlformats.org/spreadsheetml/2006/main">
  <numFmts count="38">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0%"/>
    <numFmt numFmtId="165" formatCode="0.0"/>
    <numFmt numFmtId="166" formatCode="#,##0.0"/>
    <numFmt numFmtId="167" formatCode="#,##0.000"/>
    <numFmt numFmtId="168" formatCode="0.000"/>
    <numFmt numFmtId="169" formatCode="#,##0.00000"/>
    <numFmt numFmtId="170" formatCode="0.00000"/>
    <numFmt numFmtId="171" formatCode="0.0000000"/>
    <numFmt numFmtId="172" formatCode="0.000000"/>
    <numFmt numFmtId="173" formatCode="0.0000"/>
    <numFmt numFmtId="174" formatCode="_-* #,##0.0\ _F_-;\-* #,##0.0\ _F_-;_-* &quot;-&quot;??\ _F_-;_-@_-"/>
    <numFmt numFmtId="175" formatCode="_-* #,##0\ _F_-;\-* #,##0\ _F_-;_-* &quot;-&quot;??\ _F_-;_-@_-"/>
    <numFmt numFmtId="176" formatCode="0.00000000"/>
    <numFmt numFmtId="177" formatCode="&quot;Vrai&quot;;&quot;Vrai&quot;;&quot;Faux&quot;"/>
    <numFmt numFmtId="178" formatCode="&quot;Actif&quot;;&quot;Actif&quot;;&quot;Inactif&quot;"/>
    <numFmt numFmtId="179" formatCode="0.000%"/>
    <numFmt numFmtId="180" formatCode="0.0%;\ 0.0%;\ &quot;-&quot;"/>
    <numFmt numFmtId="181" formatCode="0.0%;\ 0.0%;\ &quot;-   &quot;"/>
    <numFmt numFmtId="182" formatCode="0.0%;\ 0.0%;\ &quot;-        &quot;"/>
    <numFmt numFmtId="183" formatCode="0.0%;\ 0.0%;\ &quot;-         &quot;"/>
    <numFmt numFmtId="184" formatCode="0.0%;\ 0.0%;\ &quot;    -&quot;"/>
    <numFmt numFmtId="185" formatCode="0.0%;\ 0.0%;\ &quot;             -&quot;"/>
    <numFmt numFmtId="186" formatCode="0.0%;\ 0.0%;\ &quot;                   -&quot;"/>
    <numFmt numFmtId="187" formatCode="0.0%;\ 0.0%;\ &quot;                    -&quot;"/>
    <numFmt numFmtId="188" formatCode="0.0%;\ 0.0%;\ &quot;                     -&quot;"/>
    <numFmt numFmtId="189" formatCode="0.00;\ 0.00;\ &quot;&quot;"/>
    <numFmt numFmtId="190" formatCode="0.0;\ 0.0;\ &quot;&quot;"/>
    <numFmt numFmtId="191" formatCode="0.00,;\ 0.00,;\ &quot;&quot;"/>
    <numFmt numFmtId="192" formatCode="0.0%;\ 0.0%;\ &quot;&quot;"/>
    <numFmt numFmtId="193" formatCode="0%;\ 0%;\ &quot;&quot;"/>
  </numFmts>
  <fonts count="34">
    <font>
      <sz val="10"/>
      <name val="Arial"/>
      <family val="0"/>
    </font>
    <font>
      <sz val="8"/>
      <name val="Arial"/>
      <family val="2"/>
    </font>
    <font>
      <b/>
      <sz val="8"/>
      <name val="Arial"/>
      <family val="2"/>
    </font>
    <font>
      <b/>
      <sz val="8"/>
      <color indexed="9"/>
      <name val="Arial"/>
      <family val="2"/>
    </font>
    <font>
      <sz val="10"/>
      <color indexed="9"/>
      <name val="Arial"/>
      <family val="2"/>
    </font>
    <font>
      <b/>
      <sz val="8"/>
      <color indexed="10"/>
      <name val="Arial"/>
      <family val="2"/>
    </font>
    <font>
      <sz val="8"/>
      <color indexed="12"/>
      <name val="Arial"/>
      <family val="2"/>
    </font>
    <font>
      <sz val="8"/>
      <color indexed="10"/>
      <name val="Arial"/>
      <family val="2"/>
    </font>
    <font>
      <sz val="8"/>
      <color indexed="9"/>
      <name val="Arial"/>
      <family val="2"/>
    </font>
    <font>
      <i/>
      <sz val="8"/>
      <name val="Arial"/>
      <family val="2"/>
    </font>
    <font>
      <b/>
      <sz val="8"/>
      <color indexed="18"/>
      <name val="Arial"/>
      <family val="2"/>
    </font>
    <font>
      <b/>
      <sz val="18"/>
      <color indexed="18"/>
      <name val="Times New Roman"/>
      <family val="1"/>
    </font>
    <font>
      <b/>
      <sz val="8"/>
      <color indexed="12"/>
      <name val="Arial"/>
      <family val="2"/>
    </font>
    <font>
      <sz val="6"/>
      <name val="Arial"/>
      <family val="2"/>
    </font>
    <font>
      <i/>
      <sz val="8"/>
      <color indexed="9"/>
      <name val="Arial"/>
      <family val="2"/>
    </font>
    <font>
      <sz val="8"/>
      <name val="Tahoma"/>
      <family val="2"/>
    </font>
    <font>
      <sz val="10"/>
      <name val="Arial Unicode MS"/>
      <family val="2"/>
    </font>
    <font>
      <b/>
      <sz val="10"/>
      <name val="Arial"/>
      <family val="2"/>
    </font>
    <font>
      <u val="single"/>
      <sz val="10"/>
      <color indexed="12"/>
      <name val="Arial"/>
      <family val="0"/>
    </font>
    <font>
      <u val="single"/>
      <sz val="10"/>
      <color indexed="36"/>
      <name val="Arial"/>
      <family val="0"/>
    </font>
    <font>
      <sz val="8"/>
      <color indexed="8"/>
      <name val="Arial"/>
      <family val="2"/>
    </font>
    <font>
      <sz val="10"/>
      <color indexed="10"/>
      <name val="Arial"/>
      <family val="2"/>
    </font>
    <font>
      <sz val="10"/>
      <color indexed="14"/>
      <name val="Arial"/>
      <family val="2"/>
    </font>
    <font>
      <b/>
      <sz val="14"/>
      <color indexed="18"/>
      <name val="Times New Roman"/>
      <family val="1"/>
    </font>
    <font>
      <sz val="14"/>
      <color indexed="18"/>
      <name val="Times New Roman"/>
      <family val="1"/>
    </font>
    <font>
      <b/>
      <sz val="16"/>
      <color indexed="18"/>
      <name val="Times New Roman"/>
      <family val="1"/>
    </font>
    <font>
      <u val="single"/>
      <sz val="8"/>
      <name val="Arial"/>
      <family val="2"/>
    </font>
    <font>
      <b/>
      <sz val="16"/>
      <name val="Times New Roman"/>
      <family val="1"/>
    </font>
    <font>
      <sz val="10"/>
      <name val="Verdana"/>
      <family val="2"/>
    </font>
    <font>
      <b/>
      <u val="single"/>
      <sz val="8"/>
      <color indexed="18"/>
      <name val="Arial"/>
      <family val="2"/>
    </font>
    <font>
      <sz val="7"/>
      <name val="Arial"/>
      <family val="2"/>
    </font>
    <font>
      <sz val="8"/>
      <color indexed="18"/>
      <name val="Arial"/>
      <family val="2"/>
    </font>
    <font>
      <sz val="9"/>
      <name val="Verdana"/>
      <family val="2"/>
    </font>
    <font>
      <sz val="8"/>
      <color indexed="16"/>
      <name val="Arial"/>
      <family val="2"/>
    </font>
  </fonts>
  <fills count="13">
    <fill>
      <patternFill/>
    </fill>
    <fill>
      <patternFill patternType="gray125"/>
    </fill>
    <fill>
      <patternFill patternType="solid">
        <fgColor indexed="9"/>
        <bgColor indexed="64"/>
      </patternFill>
    </fill>
    <fill>
      <patternFill patternType="solid">
        <fgColor indexed="18"/>
        <bgColor indexed="64"/>
      </patternFill>
    </fill>
    <fill>
      <patternFill patternType="lightUp">
        <bgColor indexed="9"/>
      </patternFill>
    </fill>
    <fill>
      <patternFill patternType="solid">
        <fgColor indexed="10"/>
        <bgColor indexed="64"/>
      </patternFill>
    </fill>
    <fill>
      <patternFill patternType="solid">
        <fgColor indexed="8"/>
        <bgColor indexed="64"/>
      </patternFill>
    </fill>
    <fill>
      <patternFill patternType="solid">
        <fgColor indexed="60"/>
        <bgColor indexed="64"/>
      </patternFill>
    </fill>
    <fill>
      <patternFill patternType="solid">
        <fgColor indexed="63"/>
        <bgColor indexed="64"/>
      </patternFill>
    </fill>
    <fill>
      <patternFill patternType="solid">
        <fgColor indexed="59"/>
        <bgColor indexed="64"/>
      </patternFill>
    </fill>
    <fill>
      <patternFill patternType="solid">
        <fgColor indexed="58"/>
        <bgColor indexed="64"/>
      </patternFill>
    </fill>
    <fill>
      <patternFill patternType="solid">
        <fgColor indexed="56"/>
        <bgColor indexed="64"/>
      </patternFill>
    </fill>
    <fill>
      <patternFill patternType="solid">
        <fgColor indexed="62"/>
        <bgColor indexed="64"/>
      </patternFill>
    </fill>
  </fills>
  <borders count="26">
    <border>
      <left/>
      <right/>
      <top/>
      <bottom/>
      <diagonal/>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hair"/>
      <bottom>
        <color indexed="63"/>
      </bottom>
    </border>
    <border>
      <left style="hair"/>
      <right style="thin"/>
      <top style="hair"/>
      <bottom>
        <color indexed="63"/>
      </bottom>
    </border>
    <border>
      <left>
        <color indexed="63"/>
      </left>
      <right>
        <color indexed="63"/>
      </right>
      <top>
        <color indexed="63"/>
      </top>
      <bottom style="thin"/>
    </border>
    <border>
      <left style="hair"/>
      <right style="thin"/>
      <top>
        <color indexed="63"/>
      </top>
      <bottom style="thin"/>
    </border>
    <border>
      <left style="thin"/>
      <right style="thin"/>
      <top style="hair"/>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hair"/>
      <bottom style="thin"/>
    </border>
    <border>
      <left style="thin"/>
      <right style="thin"/>
      <top style="thin"/>
      <bottom style="thin"/>
    </border>
    <border>
      <left style="hair"/>
      <right style="thin"/>
      <top style="thin"/>
      <bottom>
        <color indexed="63"/>
      </bottom>
    </border>
    <border>
      <left style="thin"/>
      <right>
        <color indexed="63"/>
      </right>
      <top>
        <color indexed="63"/>
      </top>
      <bottom style="thin"/>
    </border>
    <border>
      <left style="hair"/>
      <right style="thin"/>
      <top style="hair"/>
      <bottom style="thin"/>
    </border>
    <border>
      <left style="hair"/>
      <right style="thin"/>
      <top style="thin"/>
      <bottom style="thin"/>
    </border>
    <border>
      <left>
        <color indexed="63"/>
      </left>
      <right style="thin"/>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style="hair"/>
      <top style="thin"/>
      <bottom>
        <color indexed="63"/>
      </bottom>
    </border>
    <border>
      <left style="thin"/>
      <right style="hair"/>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8">
    <xf numFmtId="0" fontId="0" fillId="0" borderId="0" xfId="0" applyAlignment="1">
      <alignment/>
    </xf>
    <xf numFmtId="0" fontId="0" fillId="2" borderId="0" xfId="0" applyFill="1" applyAlignment="1">
      <alignment/>
    </xf>
    <xf numFmtId="0" fontId="1" fillId="2" borderId="0" xfId="0" applyFont="1" applyFill="1" applyAlignment="1">
      <alignment/>
    </xf>
    <xf numFmtId="0" fontId="3" fillId="3" borderId="0" xfId="0" applyFont="1" applyFill="1" applyAlignment="1">
      <alignment/>
    </xf>
    <xf numFmtId="0" fontId="4" fillId="3" borderId="0" xfId="0" applyFont="1" applyFill="1" applyAlignment="1">
      <alignment/>
    </xf>
    <xf numFmtId="17" fontId="3" fillId="3" borderId="0" xfId="0" applyNumberFormat="1" applyFont="1" applyFill="1" applyAlignment="1">
      <alignment/>
    </xf>
    <xf numFmtId="0" fontId="1" fillId="2" borderId="0" xfId="0" applyFont="1" applyFill="1" applyBorder="1" applyAlignment="1">
      <alignment/>
    </xf>
    <xf numFmtId="0" fontId="1" fillId="2" borderId="1" xfId="0" applyFont="1" applyFill="1" applyBorder="1" applyAlignment="1">
      <alignment horizontal="center"/>
    </xf>
    <xf numFmtId="0" fontId="2" fillId="2" borderId="0" xfId="0" applyFont="1" applyFill="1" applyBorder="1" applyAlignment="1">
      <alignment horizontal="center"/>
    </xf>
    <xf numFmtId="0" fontId="1" fillId="2" borderId="2" xfId="0" applyFont="1" applyFill="1" applyBorder="1" applyAlignment="1">
      <alignment horizontal="centerContinuous"/>
    </xf>
    <xf numFmtId="0" fontId="1" fillId="2" borderId="3" xfId="0" applyFont="1" applyFill="1" applyBorder="1" applyAlignment="1">
      <alignment horizontal="centerContinuous"/>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5" fillId="2" borderId="0"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0" xfId="0" applyFont="1" applyFill="1" applyBorder="1" applyAlignment="1">
      <alignment horizontal="center"/>
    </xf>
    <xf numFmtId="10" fontId="6" fillId="4" borderId="0" xfId="0" applyNumberFormat="1" applyFont="1" applyFill="1" applyBorder="1" applyAlignment="1">
      <alignment/>
    </xf>
    <xf numFmtId="4" fontId="6" fillId="4" borderId="0" xfId="0" applyNumberFormat="1" applyFont="1" applyFill="1" applyBorder="1" applyAlignment="1">
      <alignment/>
    </xf>
    <xf numFmtId="0" fontId="2" fillId="2" borderId="0" xfId="0" applyFont="1" applyFill="1" applyBorder="1" applyAlignment="1">
      <alignment/>
    </xf>
    <xf numFmtId="0" fontId="1" fillId="2" borderId="1" xfId="0" applyFont="1" applyFill="1" applyBorder="1" applyAlignment="1">
      <alignment horizontal="left"/>
    </xf>
    <xf numFmtId="0" fontId="0" fillId="2" borderId="0" xfId="0" applyFill="1" applyBorder="1" applyAlignment="1">
      <alignment/>
    </xf>
    <xf numFmtId="0" fontId="1" fillId="2" borderId="5" xfId="0" applyFont="1" applyFill="1" applyBorder="1" applyAlignment="1">
      <alignment horizontal="left"/>
    </xf>
    <xf numFmtId="0" fontId="1" fillId="2" borderId="10" xfId="0" applyFont="1" applyFill="1" applyBorder="1" applyAlignment="1">
      <alignment horizontal="left"/>
    </xf>
    <xf numFmtId="0" fontId="7" fillId="2" borderId="0" xfId="0" applyFont="1" applyFill="1" applyBorder="1" applyAlignment="1">
      <alignment/>
    </xf>
    <xf numFmtId="10" fontId="7" fillId="2" borderId="0" xfId="0" applyNumberFormat="1" applyFont="1" applyFill="1" applyBorder="1" applyAlignment="1">
      <alignment/>
    </xf>
    <xf numFmtId="4" fontId="6" fillId="2" borderId="0" xfId="0" applyNumberFormat="1" applyFont="1" applyFill="1" applyBorder="1" applyAlignment="1">
      <alignment/>
    </xf>
    <xf numFmtId="0" fontId="1" fillId="2" borderId="0" xfId="0" applyFont="1" applyFill="1" applyBorder="1" applyAlignment="1">
      <alignment horizontal="left"/>
    </xf>
    <xf numFmtId="0" fontId="1" fillId="2" borderId="11" xfId="0" applyFont="1" applyFill="1" applyBorder="1" applyAlignment="1">
      <alignment horizontal="left"/>
    </xf>
    <xf numFmtId="0" fontId="1" fillId="2" borderId="12" xfId="0" applyFont="1" applyFill="1" applyBorder="1" applyAlignment="1">
      <alignment horizontal="left"/>
    </xf>
    <xf numFmtId="0" fontId="1" fillId="2" borderId="13" xfId="0" applyFont="1" applyFill="1" applyBorder="1" applyAlignment="1">
      <alignment horizontal="left"/>
    </xf>
    <xf numFmtId="10" fontId="6" fillId="2" borderId="0" xfId="0" applyNumberFormat="1" applyFont="1" applyFill="1" applyBorder="1" applyAlignment="1">
      <alignment/>
    </xf>
    <xf numFmtId="10" fontId="0" fillId="2" borderId="0" xfId="0" applyNumberFormat="1" applyFill="1" applyBorder="1" applyAlignment="1">
      <alignment/>
    </xf>
    <xf numFmtId="9" fontId="1" fillId="2" borderId="14" xfId="0" applyNumberFormat="1" applyFont="1" applyFill="1" applyBorder="1" applyAlignment="1">
      <alignment/>
    </xf>
    <xf numFmtId="3" fontId="1" fillId="2" borderId="1" xfId="21" applyNumberFormat="1" applyFont="1" applyFill="1" applyBorder="1" applyAlignment="1">
      <alignment/>
    </xf>
    <xf numFmtId="9" fontId="1" fillId="2" borderId="15" xfId="21" applyFont="1" applyFill="1" applyBorder="1" applyAlignment="1">
      <alignment/>
    </xf>
    <xf numFmtId="3" fontId="1" fillId="2" borderId="5" xfId="0" applyNumberFormat="1" applyFont="1" applyFill="1" applyBorder="1" applyAlignment="1">
      <alignment/>
    </xf>
    <xf numFmtId="9" fontId="1" fillId="2" borderId="9" xfId="21" applyFont="1" applyFill="1" applyBorder="1" applyAlignment="1">
      <alignment/>
    </xf>
    <xf numFmtId="3" fontId="6" fillId="2" borderId="10" xfId="0" applyNumberFormat="1" applyFont="1" applyFill="1" applyBorder="1" applyAlignment="1">
      <alignment/>
    </xf>
    <xf numFmtId="9" fontId="6" fillId="2" borderId="10" xfId="0" applyNumberFormat="1" applyFont="1" applyFill="1" applyBorder="1" applyAlignment="1">
      <alignment/>
    </xf>
    <xf numFmtId="2" fontId="1" fillId="2" borderId="0" xfId="0" applyNumberFormat="1" applyFont="1" applyFill="1" applyBorder="1" applyAlignment="1">
      <alignment/>
    </xf>
    <xf numFmtId="0" fontId="1" fillId="2" borderId="3" xfId="0" applyFont="1" applyFill="1" applyBorder="1" applyAlignment="1">
      <alignment/>
    </xf>
    <xf numFmtId="10" fontId="1" fillId="2" borderId="0" xfId="0" applyNumberFormat="1" applyFont="1" applyFill="1" applyBorder="1" applyAlignment="1">
      <alignment/>
    </xf>
    <xf numFmtId="4" fontId="1" fillId="2" borderId="0" xfId="0" applyNumberFormat="1" applyFont="1" applyFill="1" applyBorder="1" applyAlignment="1">
      <alignment/>
    </xf>
    <xf numFmtId="10" fontId="1" fillId="2" borderId="0" xfId="21" applyNumberFormat="1" applyFont="1" applyFill="1" applyBorder="1" applyAlignment="1">
      <alignment/>
    </xf>
    <xf numFmtId="0" fontId="8" fillId="3" borderId="0" xfId="0" applyFont="1" applyFill="1" applyAlignment="1">
      <alignment/>
    </xf>
    <xf numFmtId="0" fontId="1" fillId="2" borderId="4" xfId="0" applyFont="1" applyFill="1" applyBorder="1" applyAlignment="1">
      <alignment horizontal="left"/>
    </xf>
    <xf numFmtId="9" fontId="1" fillId="2" borderId="1" xfId="21" applyNumberFormat="1" applyFont="1" applyFill="1" applyBorder="1" applyAlignment="1">
      <alignment/>
    </xf>
    <xf numFmtId="0" fontId="1" fillId="2" borderId="11" xfId="0" applyFont="1" applyFill="1" applyBorder="1" applyAlignment="1">
      <alignment horizontal="center"/>
    </xf>
    <xf numFmtId="0" fontId="1" fillId="2" borderId="16" xfId="0" applyFont="1" applyFill="1" applyBorder="1" applyAlignment="1">
      <alignment horizontal="center"/>
    </xf>
    <xf numFmtId="0" fontId="1" fillId="2" borderId="14"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xf>
    <xf numFmtId="0" fontId="2" fillId="2" borderId="11" xfId="0" applyFont="1" applyFill="1" applyBorder="1" applyAlignment="1">
      <alignment horizontal="center"/>
    </xf>
    <xf numFmtId="0" fontId="1" fillId="2" borderId="13" xfId="0" applyFont="1" applyFill="1" applyBorder="1" applyAlignment="1">
      <alignment horizontal="center"/>
    </xf>
    <xf numFmtId="0" fontId="1" fillId="2" borderId="17" xfId="0" applyFont="1" applyFill="1" applyBorder="1" applyAlignment="1">
      <alignment horizontal="center"/>
    </xf>
    <xf numFmtId="0" fontId="2" fillId="2" borderId="1" xfId="0" applyFont="1" applyFill="1" applyBorder="1" applyAlignment="1">
      <alignment horizontal="right"/>
    </xf>
    <xf numFmtId="2" fontId="6" fillId="2" borderId="15" xfId="0" applyNumberFormat="1" applyFont="1" applyFill="1" applyBorder="1" applyAlignment="1">
      <alignment/>
    </xf>
    <xf numFmtId="2" fontId="6" fillId="2" borderId="1" xfId="0" applyNumberFormat="1" applyFont="1" applyFill="1" applyBorder="1" applyAlignment="1">
      <alignment/>
    </xf>
    <xf numFmtId="0" fontId="2" fillId="2" borderId="4" xfId="0" applyFont="1" applyFill="1" applyBorder="1" applyAlignment="1">
      <alignment horizontal="right"/>
    </xf>
    <xf numFmtId="2" fontId="6" fillId="2" borderId="18" xfId="0" applyNumberFormat="1" applyFont="1" applyFill="1" applyBorder="1" applyAlignment="1">
      <alignment/>
    </xf>
    <xf numFmtId="2" fontId="6" fillId="2" borderId="4" xfId="0" applyNumberFormat="1" applyFont="1" applyFill="1" applyBorder="1" applyAlignment="1">
      <alignment/>
    </xf>
    <xf numFmtId="0" fontId="2" fillId="2" borderId="11" xfId="0" applyFont="1" applyFill="1" applyBorder="1" applyAlignment="1">
      <alignment/>
    </xf>
    <xf numFmtId="0" fontId="2" fillId="2" borderId="3" xfId="0" applyFont="1" applyFill="1" applyBorder="1" applyAlignment="1">
      <alignment/>
    </xf>
    <xf numFmtId="0" fontId="2" fillId="2" borderId="11" xfId="0" applyFont="1" applyFill="1" applyBorder="1" applyAlignment="1">
      <alignment horizontal="left"/>
    </xf>
    <xf numFmtId="2" fontId="6" fillId="2" borderId="3" xfId="0" applyNumberFormat="1" applyFont="1" applyFill="1" applyBorder="1" applyAlignment="1">
      <alignment/>
    </xf>
    <xf numFmtId="2" fontId="6" fillId="2" borderId="11" xfId="0" applyNumberFormat="1" applyFont="1" applyFill="1" applyBorder="1" applyAlignment="1">
      <alignment/>
    </xf>
    <xf numFmtId="2" fontId="6" fillId="2" borderId="9" xfId="0" applyNumberFormat="1" applyFont="1" applyFill="1" applyBorder="1" applyAlignment="1">
      <alignment/>
    </xf>
    <xf numFmtId="2" fontId="6" fillId="2" borderId="19" xfId="0" applyNumberFormat="1" applyFont="1" applyFill="1" applyBorder="1" applyAlignment="1">
      <alignment/>
    </xf>
    <xf numFmtId="2" fontId="6" fillId="2" borderId="20" xfId="0" applyNumberFormat="1" applyFont="1" applyFill="1" applyBorder="1" applyAlignment="1">
      <alignment/>
    </xf>
    <xf numFmtId="164" fontId="1" fillId="2" borderId="0" xfId="21" applyNumberFormat="1" applyFont="1" applyFill="1" applyBorder="1" applyAlignment="1">
      <alignment/>
    </xf>
    <xf numFmtId="0" fontId="1" fillId="2" borderId="2" xfId="0" applyFont="1" applyFill="1" applyBorder="1" applyAlignment="1">
      <alignment horizontal="center"/>
    </xf>
    <xf numFmtId="3" fontId="1" fillId="2" borderId="0" xfId="0" applyNumberFormat="1" applyFont="1" applyFill="1" applyBorder="1" applyAlignment="1">
      <alignment/>
    </xf>
    <xf numFmtId="9" fontId="1" fillId="2" borderId="0" xfId="21" applyFont="1" applyFill="1" applyBorder="1" applyAlignment="1">
      <alignment/>
    </xf>
    <xf numFmtId="0" fontId="1" fillId="2" borderId="1" xfId="0" applyFont="1" applyFill="1" applyBorder="1" applyAlignment="1">
      <alignment/>
    </xf>
    <xf numFmtId="0" fontId="1" fillId="2" borderId="5" xfId="0" applyFont="1" applyFill="1" applyBorder="1" applyAlignment="1">
      <alignment/>
    </xf>
    <xf numFmtId="0" fontId="1" fillId="2" borderId="4" xfId="0" applyFont="1" applyFill="1" applyBorder="1" applyAlignment="1">
      <alignment/>
    </xf>
    <xf numFmtId="0" fontId="2" fillId="2" borderId="0" xfId="0" applyFont="1" applyFill="1" applyBorder="1" applyAlignment="1">
      <alignment horizontal="centerContinuous"/>
    </xf>
    <xf numFmtId="3" fontId="6" fillId="2" borderId="0" xfId="0" applyNumberFormat="1" applyFont="1" applyFill="1" applyBorder="1" applyAlignment="1">
      <alignment/>
    </xf>
    <xf numFmtId="0" fontId="12" fillId="2" borderId="0" xfId="0" applyFont="1" applyFill="1" applyBorder="1" applyAlignment="1">
      <alignment/>
    </xf>
    <xf numFmtId="0" fontId="6" fillId="2" borderId="0" xfId="0" applyFont="1" applyFill="1" applyBorder="1" applyAlignment="1">
      <alignment/>
    </xf>
    <xf numFmtId="0" fontId="3" fillId="3" borderId="0" xfId="0" applyFont="1" applyFill="1" applyBorder="1" applyAlignment="1">
      <alignment/>
    </xf>
    <xf numFmtId="0" fontId="4" fillId="3" borderId="0" xfId="0" applyFont="1" applyFill="1" applyBorder="1" applyAlignment="1">
      <alignment/>
    </xf>
    <xf numFmtId="0" fontId="1" fillId="2" borderId="0" xfId="0" applyFont="1" applyFill="1" applyBorder="1" applyAlignment="1">
      <alignment/>
    </xf>
    <xf numFmtId="168" fontId="1" fillId="2" borderId="0" xfId="0" applyNumberFormat="1" applyFont="1" applyFill="1" applyBorder="1" applyAlignment="1">
      <alignment/>
    </xf>
    <xf numFmtId="1" fontId="1" fillId="2" borderId="0" xfId="0" applyNumberFormat="1" applyFont="1" applyFill="1" applyBorder="1" applyAlignment="1">
      <alignment horizontal="left"/>
    </xf>
    <xf numFmtId="2" fontId="6" fillId="2" borderId="0" xfId="0" applyNumberFormat="1" applyFont="1" applyFill="1" applyBorder="1" applyAlignment="1">
      <alignment/>
    </xf>
    <xf numFmtId="0" fontId="1" fillId="2" borderId="0" xfId="0" applyFont="1" applyFill="1" applyBorder="1" applyAlignment="1">
      <alignment horizontal="right"/>
    </xf>
    <xf numFmtId="169" fontId="1" fillId="2" borderId="0" xfId="0" applyNumberFormat="1" applyFont="1" applyFill="1" applyBorder="1" applyAlignment="1">
      <alignment/>
    </xf>
    <xf numFmtId="170" fontId="6" fillId="2" borderId="0" xfId="0" applyNumberFormat="1" applyFont="1" applyFill="1" applyBorder="1" applyAlignment="1">
      <alignment/>
    </xf>
    <xf numFmtId="173" fontId="6" fillId="2" borderId="0" xfId="0" applyNumberFormat="1" applyFont="1" applyFill="1" applyBorder="1" applyAlignment="1">
      <alignment/>
    </xf>
    <xf numFmtId="173" fontId="12" fillId="2" borderId="0" xfId="0" applyNumberFormat="1" applyFont="1" applyFill="1" applyBorder="1" applyAlignment="1">
      <alignment/>
    </xf>
    <xf numFmtId="168" fontId="12" fillId="2" borderId="0" xfId="0" applyNumberFormat="1" applyFont="1" applyFill="1" applyBorder="1" applyAlignment="1">
      <alignment/>
    </xf>
    <xf numFmtId="2" fontId="12" fillId="2" borderId="0" xfId="0" applyNumberFormat="1" applyFont="1" applyFill="1" applyBorder="1" applyAlignment="1">
      <alignment/>
    </xf>
    <xf numFmtId="0" fontId="5" fillId="2" borderId="0" xfId="0" applyFont="1" applyFill="1" applyBorder="1" applyAlignment="1">
      <alignment/>
    </xf>
    <xf numFmtId="1" fontId="6" fillId="2" borderId="0" xfId="0" applyNumberFormat="1" applyFont="1" applyFill="1" applyBorder="1" applyAlignment="1">
      <alignment/>
    </xf>
    <xf numFmtId="164" fontId="6" fillId="2" borderId="0" xfId="21" applyNumberFormat="1" applyFont="1" applyFill="1" applyBorder="1" applyAlignment="1">
      <alignment/>
    </xf>
    <xf numFmtId="0" fontId="3" fillId="2" borderId="0" xfId="0" applyFont="1" applyFill="1" applyAlignment="1">
      <alignment/>
    </xf>
    <xf numFmtId="0" fontId="2" fillId="2" borderId="0" xfId="0" applyFont="1" applyFill="1" applyAlignment="1">
      <alignment/>
    </xf>
    <xf numFmtId="3" fontId="6" fillId="2" borderId="0" xfId="0" applyNumberFormat="1" applyFont="1" applyFill="1" applyAlignment="1">
      <alignment/>
    </xf>
    <xf numFmtId="0" fontId="6" fillId="2" borderId="0" xfId="0" applyFont="1" applyFill="1" applyAlignment="1">
      <alignment/>
    </xf>
    <xf numFmtId="2" fontId="6" fillId="2" borderId="0" xfId="0" applyNumberFormat="1" applyFont="1" applyFill="1" applyAlignment="1">
      <alignment/>
    </xf>
    <xf numFmtId="0" fontId="12" fillId="2" borderId="0" xfId="0" applyFont="1" applyFill="1" applyAlignment="1">
      <alignment/>
    </xf>
    <xf numFmtId="9" fontId="6" fillId="2" borderId="0" xfId="21" applyFont="1" applyFill="1" applyAlignment="1">
      <alignment/>
    </xf>
    <xf numFmtId="1" fontId="6" fillId="2" borderId="0" xfId="0" applyNumberFormat="1" applyFont="1" applyFill="1" applyAlignment="1">
      <alignment/>
    </xf>
    <xf numFmtId="168" fontId="12" fillId="2" borderId="0" xfId="0" applyNumberFormat="1" applyFont="1" applyFill="1" applyAlignment="1">
      <alignment/>
    </xf>
    <xf numFmtId="4" fontId="1" fillId="2" borderId="0" xfId="21" applyNumberFormat="1" applyFont="1" applyFill="1" applyBorder="1" applyAlignment="1">
      <alignment/>
    </xf>
    <xf numFmtId="0" fontId="1" fillId="2" borderId="20" xfId="0" applyFont="1" applyFill="1" applyBorder="1" applyAlignment="1">
      <alignment/>
    </xf>
    <xf numFmtId="1" fontId="1" fillId="2" borderId="0" xfId="0" applyNumberFormat="1" applyFont="1" applyFill="1" applyBorder="1" applyAlignment="1">
      <alignment/>
    </xf>
    <xf numFmtId="0" fontId="1" fillId="2" borderId="11" xfId="0" applyFont="1" applyFill="1" applyBorder="1" applyAlignment="1">
      <alignment/>
    </xf>
    <xf numFmtId="0" fontId="1" fillId="2" borderId="16" xfId="0" applyFont="1" applyFill="1" applyBorder="1" applyAlignment="1">
      <alignment/>
    </xf>
    <xf numFmtId="0" fontId="1" fillId="2" borderId="12" xfId="0" applyFont="1" applyFill="1" applyBorder="1" applyAlignment="1">
      <alignment/>
    </xf>
    <xf numFmtId="0" fontId="1" fillId="2" borderId="21" xfId="0" applyFont="1" applyFill="1" applyBorder="1" applyAlignment="1">
      <alignment/>
    </xf>
    <xf numFmtId="1" fontId="6" fillId="2" borderId="12" xfId="0" applyNumberFormat="1" applyFont="1" applyFill="1" applyBorder="1" applyAlignment="1">
      <alignment/>
    </xf>
    <xf numFmtId="170" fontId="6" fillId="2" borderId="5" xfId="0" applyNumberFormat="1" applyFont="1" applyFill="1" applyBorder="1" applyAlignment="1">
      <alignment/>
    </xf>
    <xf numFmtId="3" fontId="6" fillId="2" borderId="8" xfId="0" applyNumberFormat="1" applyFont="1" applyFill="1" applyBorder="1" applyAlignment="1">
      <alignment/>
    </xf>
    <xf numFmtId="0" fontId="1" fillId="2" borderId="19" xfId="0" applyFont="1" applyFill="1" applyBorder="1" applyAlignment="1">
      <alignment/>
    </xf>
    <xf numFmtId="1" fontId="6" fillId="2" borderId="16" xfId="0" applyNumberFormat="1" applyFont="1" applyFill="1" applyBorder="1" applyAlignment="1">
      <alignment/>
    </xf>
    <xf numFmtId="170" fontId="6" fillId="2" borderId="4" xfId="0" applyNumberFormat="1" applyFont="1" applyFill="1" applyBorder="1" applyAlignment="1">
      <alignment/>
    </xf>
    <xf numFmtId="0" fontId="9" fillId="2" borderId="0" xfId="0" applyFont="1" applyFill="1" applyBorder="1" applyAlignment="1">
      <alignment/>
    </xf>
    <xf numFmtId="0" fontId="3" fillId="3" borderId="14" xfId="0" applyFont="1" applyFill="1" applyBorder="1" applyAlignment="1">
      <alignment/>
    </xf>
    <xf numFmtId="2" fontId="1" fillId="2" borderId="5" xfId="0" applyNumberFormat="1" applyFont="1" applyFill="1" applyBorder="1" applyAlignment="1">
      <alignment/>
    </xf>
    <xf numFmtId="0" fontId="0" fillId="3" borderId="0" xfId="0" applyFill="1" applyAlignment="1">
      <alignment/>
    </xf>
    <xf numFmtId="3" fontId="7" fillId="2" borderId="0" xfId="0" applyNumberFormat="1" applyFont="1" applyFill="1" applyBorder="1" applyAlignment="1">
      <alignment/>
    </xf>
    <xf numFmtId="3" fontId="2" fillId="2" borderId="0" xfId="0" applyNumberFormat="1" applyFont="1" applyFill="1" applyBorder="1" applyAlignment="1">
      <alignment horizontal="center"/>
    </xf>
    <xf numFmtId="3" fontId="6" fillId="4" borderId="0" xfId="0" applyNumberFormat="1" applyFont="1" applyFill="1" applyBorder="1" applyAlignment="1">
      <alignment/>
    </xf>
    <xf numFmtId="3" fontId="0" fillId="2" borderId="0" xfId="0" applyNumberFormat="1" applyFill="1" applyAlignment="1">
      <alignment/>
    </xf>
    <xf numFmtId="3" fontId="5" fillId="2" borderId="0" xfId="0" applyNumberFormat="1" applyFont="1" applyFill="1" applyBorder="1" applyAlignment="1">
      <alignment horizontal="center"/>
    </xf>
    <xf numFmtId="0" fontId="20" fillId="2" borderId="0" xfId="0" applyFont="1" applyFill="1" applyAlignment="1">
      <alignment/>
    </xf>
    <xf numFmtId="9" fontId="1" fillId="2" borderId="15" xfId="21" applyNumberFormat="1" applyFont="1" applyFill="1" applyBorder="1" applyAlignment="1">
      <alignment/>
    </xf>
    <xf numFmtId="9" fontId="1" fillId="2" borderId="9" xfId="21" applyNumberFormat="1" applyFont="1" applyFill="1" applyBorder="1" applyAlignment="1">
      <alignment/>
    </xf>
    <xf numFmtId="1" fontId="1" fillId="2" borderId="11" xfId="0" applyNumberFormat="1" applyFont="1" applyFill="1" applyBorder="1" applyAlignment="1">
      <alignment/>
    </xf>
    <xf numFmtId="1" fontId="1" fillId="2" borderId="16" xfId="0" applyNumberFormat="1" applyFont="1" applyFill="1" applyBorder="1" applyAlignment="1">
      <alignment/>
    </xf>
    <xf numFmtId="1" fontId="0" fillId="2" borderId="0" xfId="0" applyNumberFormat="1" applyFill="1" applyAlignment="1">
      <alignment/>
    </xf>
    <xf numFmtId="1" fontId="6" fillId="4" borderId="0" xfId="0" applyNumberFormat="1" applyFont="1" applyFill="1" applyBorder="1" applyAlignment="1">
      <alignment/>
    </xf>
    <xf numFmtId="1" fontId="1" fillId="2" borderId="0" xfId="0" applyNumberFormat="1" applyFont="1" applyFill="1" applyBorder="1" applyAlignment="1">
      <alignment horizontal="center"/>
    </xf>
    <xf numFmtId="1" fontId="0" fillId="2" borderId="0" xfId="0" applyNumberFormat="1" applyFill="1" applyBorder="1" applyAlignment="1">
      <alignment/>
    </xf>
    <xf numFmtId="9" fontId="20" fillId="2" borderId="14" xfId="0" applyNumberFormat="1" applyFont="1" applyFill="1" applyBorder="1" applyAlignment="1">
      <alignment/>
    </xf>
    <xf numFmtId="3" fontId="20" fillId="2" borderId="1" xfId="21" applyNumberFormat="1" applyFont="1" applyFill="1" applyBorder="1" applyAlignment="1">
      <alignment/>
    </xf>
    <xf numFmtId="3" fontId="20" fillId="2" borderId="5" xfId="0" applyNumberFormat="1" applyFont="1" applyFill="1" applyBorder="1" applyAlignment="1">
      <alignment/>
    </xf>
    <xf numFmtId="0" fontId="0" fillId="2" borderId="0" xfId="0" applyFill="1" applyAlignment="1">
      <alignment horizontal="center" vertical="center"/>
    </xf>
    <xf numFmtId="0" fontId="2" fillId="2" borderId="0"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0" xfId="0" applyFont="1" applyFill="1" applyBorder="1" applyAlignment="1">
      <alignment horizontal="center" vertical="center"/>
    </xf>
    <xf numFmtId="0" fontId="17" fillId="2" borderId="0" xfId="0" applyFont="1" applyFill="1" applyAlignment="1">
      <alignment/>
    </xf>
    <xf numFmtId="3" fontId="1" fillId="2" borderId="21" xfId="0" applyNumberFormat="1" applyFont="1" applyFill="1" applyBorder="1" applyAlignment="1">
      <alignment/>
    </xf>
    <xf numFmtId="0" fontId="2" fillId="2" borderId="0" xfId="0" applyFont="1" applyFill="1" applyBorder="1" applyAlignment="1">
      <alignment horizontal="left"/>
    </xf>
    <xf numFmtId="0" fontId="1" fillId="2" borderId="0" xfId="0" applyFont="1" applyFill="1" applyBorder="1" applyAlignment="1">
      <alignment horizontal="centerContinuous"/>
    </xf>
    <xf numFmtId="2" fontId="7" fillId="2" borderId="0" xfId="0" applyNumberFormat="1" applyFont="1" applyFill="1" applyBorder="1" applyAlignment="1">
      <alignment/>
    </xf>
    <xf numFmtId="170" fontId="1" fillId="2" borderId="0" xfId="0" applyNumberFormat="1" applyFont="1" applyFill="1" applyBorder="1" applyAlignment="1">
      <alignment horizontal="right"/>
    </xf>
    <xf numFmtId="170" fontId="12" fillId="2" borderId="0" xfId="0" applyNumberFormat="1" applyFont="1" applyFill="1" applyBorder="1" applyAlignment="1">
      <alignment/>
    </xf>
    <xf numFmtId="1" fontId="7" fillId="2" borderId="0" xfId="0" applyNumberFormat="1" applyFont="1" applyFill="1" applyBorder="1" applyAlignment="1">
      <alignment/>
    </xf>
    <xf numFmtId="0" fontId="1" fillId="2" borderId="1" xfId="0" applyFont="1" applyFill="1" applyBorder="1" applyAlignment="1">
      <alignment wrapText="1"/>
    </xf>
    <xf numFmtId="0" fontId="0" fillId="0" borderId="4" xfId="0" applyBorder="1" applyAlignment="1">
      <alignment wrapText="1"/>
    </xf>
    <xf numFmtId="170" fontId="20" fillId="2" borderId="0" xfId="0" applyNumberFormat="1" applyFont="1" applyFill="1" applyBorder="1" applyAlignment="1">
      <alignment/>
    </xf>
    <xf numFmtId="2" fontId="5" fillId="2" borderId="0" xfId="0" applyNumberFormat="1" applyFont="1" applyFill="1" applyBorder="1" applyAlignment="1">
      <alignment/>
    </xf>
    <xf numFmtId="0" fontId="1" fillId="2" borderId="0" xfId="0" applyFont="1" applyFill="1" applyAlignment="1">
      <alignment/>
    </xf>
    <xf numFmtId="9" fontId="1" fillId="2" borderId="0" xfId="21" applyFont="1" applyFill="1" applyAlignment="1">
      <alignment/>
    </xf>
    <xf numFmtId="2" fontId="21" fillId="2" borderId="0" xfId="0" applyNumberFormat="1" applyFont="1" applyFill="1" applyAlignment="1">
      <alignment/>
    </xf>
    <xf numFmtId="173" fontId="6" fillId="2" borderId="22" xfId="0" applyNumberFormat="1" applyFont="1" applyFill="1" applyBorder="1" applyAlignment="1">
      <alignment/>
    </xf>
    <xf numFmtId="0" fontId="0" fillId="2" borderId="20" xfId="0" applyFill="1" applyBorder="1" applyAlignment="1">
      <alignment/>
    </xf>
    <xf numFmtId="3" fontId="6" fillId="2" borderId="23" xfId="0" applyNumberFormat="1" applyFont="1" applyFill="1" applyBorder="1" applyAlignment="1">
      <alignment/>
    </xf>
    <xf numFmtId="0" fontId="1" fillId="2" borderId="22" xfId="0" applyFont="1" applyFill="1" applyBorder="1" applyAlignment="1">
      <alignment/>
    </xf>
    <xf numFmtId="164" fontId="5" fillId="2" borderId="0" xfId="0" applyNumberFormat="1" applyFont="1" applyFill="1" applyBorder="1" applyAlignment="1">
      <alignment/>
    </xf>
    <xf numFmtId="164" fontId="5" fillId="2" borderId="0" xfId="21" applyNumberFormat="1" applyFont="1" applyFill="1" applyBorder="1" applyAlignment="1">
      <alignment/>
    </xf>
    <xf numFmtId="3" fontId="6" fillId="2" borderId="2" xfId="0" applyNumberFormat="1" applyFont="1" applyFill="1" applyBorder="1" applyAlignment="1">
      <alignment/>
    </xf>
    <xf numFmtId="3" fontId="1" fillId="2" borderId="0" xfId="0" applyNumberFormat="1" applyFont="1" applyFill="1" applyAlignment="1">
      <alignment/>
    </xf>
    <xf numFmtId="2" fontId="1" fillId="2" borderId="0" xfId="0" applyNumberFormat="1" applyFont="1" applyFill="1" applyBorder="1" applyAlignment="1">
      <alignment vertical="top" wrapText="1"/>
    </xf>
    <xf numFmtId="0" fontId="1" fillId="2" borderId="0" xfId="0" applyFont="1" applyFill="1" applyBorder="1" applyAlignment="1">
      <alignment vertical="top" wrapText="1"/>
    </xf>
    <xf numFmtId="0" fontId="1" fillId="2" borderId="0" xfId="0" applyFont="1" applyFill="1" applyBorder="1" applyAlignment="1">
      <alignment wrapText="1"/>
    </xf>
    <xf numFmtId="0" fontId="1" fillId="0" borderId="0" xfId="0" applyFont="1" applyFill="1" applyBorder="1" applyAlignment="1">
      <alignment/>
    </xf>
    <xf numFmtId="9" fontId="6" fillId="2" borderId="0" xfId="0" applyNumberFormat="1" applyFont="1" applyFill="1" applyBorder="1" applyAlignment="1">
      <alignment/>
    </xf>
    <xf numFmtId="173" fontId="6" fillId="2" borderId="0" xfId="0" applyNumberFormat="1" applyFont="1" applyFill="1" applyAlignment="1">
      <alignment/>
    </xf>
    <xf numFmtId="9" fontId="20" fillId="2" borderId="1" xfId="21" applyNumberFormat="1" applyFont="1" applyFill="1" applyBorder="1" applyAlignment="1">
      <alignment/>
    </xf>
    <xf numFmtId="9" fontId="6" fillId="2" borderId="5" xfId="0" applyNumberFormat="1" applyFont="1" applyFill="1" applyBorder="1" applyAlignment="1">
      <alignment/>
    </xf>
    <xf numFmtId="9" fontId="7" fillId="2" borderId="0" xfId="0" applyNumberFormat="1" applyFont="1" applyFill="1" applyBorder="1" applyAlignment="1">
      <alignment/>
    </xf>
    <xf numFmtId="9" fontId="2" fillId="2" borderId="0" xfId="0" applyNumberFormat="1" applyFont="1" applyFill="1" applyBorder="1" applyAlignment="1">
      <alignment horizontal="center"/>
    </xf>
    <xf numFmtId="9" fontId="6" fillId="4" borderId="0" xfId="0" applyNumberFormat="1" applyFont="1" applyFill="1" applyBorder="1" applyAlignment="1">
      <alignment/>
    </xf>
    <xf numFmtId="9" fontId="5" fillId="2" borderId="0" xfId="0" applyNumberFormat="1" applyFont="1" applyFill="1" applyBorder="1" applyAlignment="1">
      <alignment horizontal="center"/>
    </xf>
    <xf numFmtId="9" fontId="1" fillId="2" borderId="0" xfId="0" applyNumberFormat="1" applyFont="1" applyFill="1" applyBorder="1" applyAlignment="1">
      <alignment horizontal="center"/>
    </xf>
    <xf numFmtId="9" fontId="6" fillId="2" borderId="10" xfId="21" applyNumberFormat="1" applyFont="1" applyFill="1" applyBorder="1" applyAlignment="1">
      <alignment/>
    </xf>
    <xf numFmtId="9" fontId="1" fillId="2" borderId="1" xfId="0" applyNumberFormat="1" applyFont="1" applyFill="1" applyBorder="1" applyAlignment="1">
      <alignment/>
    </xf>
    <xf numFmtId="9" fontId="1" fillId="2" borderId="5" xfId="21" applyNumberFormat="1" applyFont="1" applyFill="1" applyBorder="1" applyAlignment="1">
      <alignment/>
    </xf>
    <xf numFmtId="9" fontId="6" fillId="2" borderId="14" xfId="0" applyNumberFormat="1" applyFont="1" applyFill="1" applyBorder="1" applyAlignment="1">
      <alignment/>
    </xf>
    <xf numFmtId="9" fontId="6" fillId="2" borderId="4" xfId="21" applyNumberFormat="1" applyFont="1" applyFill="1" applyBorder="1" applyAlignment="1">
      <alignment/>
    </xf>
    <xf numFmtId="168" fontId="6" fillId="2" borderId="0" xfId="0" applyNumberFormat="1" applyFont="1" applyFill="1" applyBorder="1" applyAlignment="1">
      <alignment/>
    </xf>
    <xf numFmtId="3" fontId="1" fillId="2" borderId="1" xfId="0" applyNumberFormat="1" applyFont="1" applyFill="1" applyBorder="1" applyAlignment="1">
      <alignment/>
    </xf>
    <xf numFmtId="3" fontId="1" fillId="2" borderId="4" xfId="0" applyNumberFormat="1" applyFont="1" applyFill="1" applyBorder="1" applyAlignment="1">
      <alignment/>
    </xf>
    <xf numFmtId="2" fontId="6" fillId="2" borderId="5" xfId="0" applyNumberFormat="1" applyFont="1" applyFill="1" applyBorder="1" applyAlignment="1">
      <alignment/>
    </xf>
    <xf numFmtId="2" fontId="1" fillId="2" borderId="1" xfId="0" applyNumberFormat="1" applyFont="1" applyFill="1" applyBorder="1" applyAlignment="1">
      <alignment/>
    </xf>
    <xf numFmtId="2" fontId="1" fillId="2" borderId="4" xfId="0" applyNumberFormat="1" applyFont="1" applyFill="1" applyBorder="1" applyAlignment="1">
      <alignment/>
    </xf>
    <xf numFmtId="2" fontId="12" fillId="2" borderId="0" xfId="0" applyNumberFormat="1" applyFont="1" applyFill="1" applyAlignment="1">
      <alignment/>
    </xf>
    <xf numFmtId="2" fontId="3" fillId="3" borderId="22" xfId="0" applyNumberFormat="1" applyFont="1" applyFill="1" applyBorder="1" applyAlignment="1">
      <alignment/>
    </xf>
    <xf numFmtId="0" fontId="10" fillId="2" borderId="0" xfId="0" applyFont="1" applyFill="1" applyBorder="1" applyAlignment="1">
      <alignment/>
    </xf>
    <xf numFmtId="10" fontId="10" fillId="2" borderId="0" xfId="0" applyNumberFormat="1" applyFont="1" applyFill="1" applyBorder="1" applyAlignment="1">
      <alignment/>
    </xf>
    <xf numFmtId="9" fontId="10" fillId="2" borderId="0" xfId="0" applyNumberFormat="1" applyFont="1" applyFill="1" applyBorder="1" applyAlignment="1">
      <alignment/>
    </xf>
    <xf numFmtId="0" fontId="22" fillId="2" borderId="0" xfId="0" applyFont="1" applyFill="1" applyAlignment="1">
      <alignment/>
    </xf>
    <xf numFmtId="14" fontId="1" fillId="2" borderId="0" xfId="0" applyNumberFormat="1" applyFont="1" applyFill="1" applyBorder="1" applyAlignment="1">
      <alignment/>
    </xf>
    <xf numFmtId="9" fontId="6" fillId="2" borderId="0" xfId="21" applyFont="1" applyFill="1" applyBorder="1" applyAlignment="1">
      <alignment/>
    </xf>
    <xf numFmtId="0" fontId="8" fillId="2" borderId="0" xfId="0" applyFont="1" applyFill="1" applyBorder="1" applyAlignment="1">
      <alignment/>
    </xf>
    <xf numFmtId="2" fontId="6" fillId="2" borderId="21" xfId="0" applyNumberFormat="1" applyFont="1" applyFill="1" applyBorder="1" applyAlignment="1">
      <alignment/>
    </xf>
    <xf numFmtId="2" fontId="12" fillId="2" borderId="21" xfId="0" applyNumberFormat="1" applyFont="1" applyFill="1" applyBorder="1" applyAlignment="1">
      <alignment/>
    </xf>
    <xf numFmtId="9" fontId="1" fillId="2" borderId="0" xfId="21" applyNumberFormat="1" applyFont="1" applyFill="1" applyBorder="1" applyAlignment="1">
      <alignment/>
    </xf>
    <xf numFmtId="0" fontId="8" fillId="2" borderId="0" xfId="0" applyFont="1" applyFill="1" applyAlignment="1">
      <alignment/>
    </xf>
    <xf numFmtId="0" fontId="2" fillId="2" borderId="0" xfId="0" applyFont="1" applyFill="1" applyBorder="1" applyAlignment="1">
      <alignment horizontal="left" vertical="center"/>
    </xf>
    <xf numFmtId="0" fontId="0" fillId="2" borderId="0" xfId="0" applyFill="1" applyAlignment="1">
      <alignment horizontal="left"/>
    </xf>
    <xf numFmtId="0" fontId="0" fillId="2" borderId="0" xfId="0" applyFont="1" applyFill="1" applyAlignment="1">
      <alignment/>
    </xf>
    <xf numFmtId="166" fontId="1" fillId="2" borderId="0" xfId="0" applyNumberFormat="1" applyFont="1" applyFill="1" applyBorder="1" applyAlignment="1">
      <alignment horizontal="left"/>
    </xf>
    <xf numFmtId="0" fontId="3" fillId="2" borderId="0" xfId="0" applyFont="1" applyFill="1" applyBorder="1" applyAlignment="1">
      <alignment/>
    </xf>
    <xf numFmtId="0" fontId="4" fillId="2" borderId="0" xfId="0" applyFont="1" applyFill="1" applyBorder="1" applyAlignment="1">
      <alignment/>
    </xf>
    <xf numFmtId="0" fontId="4" fillId="2" borderId="0" xfId="0" applyFont="1" applyFill="1" applyAlignment="1">
      <alignment/>
    </xf>
    <xf numFmtId="0" fontId="1" fillId="2" borderId="0" xfId="0" applyFont="1" applyFill="1" applyAlignment="1">
      <alignment horizontal="left"/>
    </xf>
    <xf numFmtId="3" fontId="1" fillId="5" borderId="0" xfId="0" applyNumberFormat="1" applyFont="1" applyFill="1" applyAlignment="1">
      <alignment/>
    </xf>
    <xf numFmtId="0" fontId="1" fillId="2" borderId="0" xfId="0" applyFont="1" applyFill="1" applyBorder="1" applyAlignment="1">
      <alignment horizontal="center" vertical="center" wrapText="1"/>
    </xf>
    <xf numFmtId="2" fontId="6" fillId="2" borderId="12" xfId="0" applyNumberFormat="1" applyFont="1" applyFill="1" applyBorder="1" applyAlignment="1">
      <alignment/>
    </xf>
    <xf numFmtId="2" fontId="12" fillId="2" borderId="12" xfId="0" applyNumberFormat="1" applyFont="1" applyFill="1" applyBorder="1" applyAlignment="1">
      <alignment/>
    </xf>
    <xf numFmtId="0" fontId="7" fillId="2" borderId="0" xfId="0" applyFont="1" applyFill="1" applyBorder="1" applyAlignment="1">
      <alignment/>
    </xf>
    <xf numFmtId="189" fontId="3" fillId="3" borderId="0" xfId="0" applyNumberFormat="1" applyFont="1" applyFill="1" applyBorder="1" applyAlignment="1">
      <alignment/>
    </xf>
    <xf numFmtId="189" fontId="1" fillId="2" borderId="0" xfId="0" applyNumberFormat="1" applyFont="1" applyFill="1" applyBorder="1" applyAlignment="1">
      <alignment/>
    </xf>
    <xf numFmtId="189" fontId="6" fillId="2" borderId="0" xfId="17" applyNumberFormat="1" applyFont="1" applyFill="1" applyBorder="1" applyAlignment="1">
      <alignment/>
    </xf>
    <xf numFmtId="189" fontId="12" fillId="2" borderId="0" xfId="17" applyNumberFormat="1" applyFont="1" applyFill="1" applyBorder="1" applyAlignment="1">
      <alignment/>
    </xf>
    <xf numFmtId="43" fontId="1" fillId="2" borderId="0" xfId="0" applyNumberFormat="1" applyFont="1" applyFill="1" applyBorder="1" applyAlignment="1">
      <alignment/>
    </xf>
    <xf numFmtId="189" fontId="12" fillId="2" borderId="0" xfId="0" applyNumberFormat="1" applyFont="1" applyFill="1" applyBorder="1" applyAlignment="1">
      <alignment/>
    </xf>
    <xf numFmtId="192" fontId="5" fillId="2" borderId="0" xfId="21" applyNumberFormat="1" applyFont="1" applyFill="1" applyBorder="1" applyAlignment="1">
      <alignment/>
    </xf>
    <xf numFmtId="0" fontId="1" fillId="6" borderId="0" xfId="0" applyFont="1" applyFill="1" applyBorder="1" applyAlignment="1">
      <alignment/>
    </xf>
    <xf numFmtId="0" fontId="1" fillId="6" borderId="0" xfId="0" applyNumberFormat="1" applyFont="1" applyFill="1" applyBorder="1" applyAlignment="1">
      <alignment/>
    </xf>
    <xf numFmtId="189" fontId="10" fillId="6" borderId="0" xfId="0" applyNumberFormat="1" applyFont="1" applyFill="1" applyBorder="1" applyAlignment="1">
      <alignment/>
    </xf>
    <xf numFmtId="0" fontId="3" fillId="6" borderId="0" xfId="0" applyFont="1" applyFill="1" applyBorder="1" applyAlignment="1">
      <alignment/>
    </xf>
    <xf numFmtId="2" fontId="3" fillId="6" borderId="0" xfId="0" applyNumberFormat="1" applyFont="1" applyFill="1" applyBorder="1" applyAlignment="1">
      <alignment/>
    </xf>
    <xf numFmtId="0" fontId="1" fillId="2" borderId="14" xfId="0" applyFont="1" applyFill="1" applyBorder="1" applyAlignment="1">
      <alignment horizontal="center" vertical="center" wrapText="1"/>
    </xf>
    <xf numFmtId="2" fontId="6" fillId="2" borderId="2" xfId="0" applyNumberFormat="1" applyFont="1" applyFill="1" applyBorder="1" applyAlignment="1">
      <alignment/>
    </xf>
    <xf numFmtId="2" fontId="12" fillId="2" borderId="16" xfId="0" applyNumberFormat="1" applyFont="1" applyFill="1" applyBorder="1" applyAlignment="1">
      <alignment/>
    </xf>
    <xf numFmtId="2" fontId="12" fillId="2" borderId="8" xfId="0" applyNumberFormat="1" applyFont="1" applyFill="1" applyBorder="1" applyAlignment="1">
      <alignment/>
    </xf>
    <xf numFmtId="2" fontId="12" fillId="2" borderId="19" xfId="0" applyNumberFormat="1" applyFont="1" applyFill="1" applyBorder="1" applyAlignment="1">
      <alignment/>
    </xf>
    <xf numFmtId="2" fontId="12" fillId="2" borderId="16" xfId="0" applyNumberFormat="1" applyFont="1" applyFill="1" applyBorder="1" applyAlignment="1">
      <alignment/>
    </xf>
    <xf numFmtId="2" fontId="3" fillId="3" borderId="20" xfId="0" applyNumberFormat="1" applyFont="1" applyFill="1" applyBorder="1" applyAlignment="1">
      <alignment/>
    </xf>
    <xf numFmtId="2" fontId="3" fillId="3" borderId="23" xfId="0" applyNumberFormat="1" applyFont="1" applyFill="1" applyBorder="1" applyAlignment="1">
      <alignment/>
    </xf>
    <xf numFmtId="189" fontId="3" fillId="3" borderId="14" xfId="0" applyNumberFormat="1" applyFont="1" applyFill="1" applyBorder="1" applyAlignment="1">
      <alignment/>
    </xf>
    <xf numFmtId="189" fontId="6" fillId="2" borderId="1" xfId="17" applyNumberFormat="1" applyFont="1" applyFill="1" applyBorder="1" applyAlignment="1">
      <alignment/>
    </xf>
    <xf numFmtId="189" fontId="6" fillId="2" borderId="5" xfId="17" applyNumberFormat="1" applyFont="1" applyFill="1" applyBorder="1" applyAlignment="1">
      <alignment/>
    </xf>
    <xf numFmtId="189" fontId="12" fillId="2" borderId="4" xfId="17" applyNumberFormat="1" applyFont="1" applyFill="1" applyBorder="1" applyAlignment="1">
      <alignment/>
    </xf>
    <xf numFmtId="189" fontId="12" fillId="2" borderId="1" xfId="17" applyNumberFormat="1" applyFont="1" applyFill="1" applyBorder="1" applyAlignment="1">
      <alignment/>
    </xf>
    <xf numFmtId="189" fontId="12" fillId="2" borderId="5" xfId="17" applyNumberFormat="1" applyFont="1" applyFill="1" applyBorder="1" applyAlignment="1">
      <alignment/>
    </xf>
    <xf numFmtId="0" fontId="31" fillId="2" borderId="0" xfId="0" applyFont="1" applyFill="1" applyBorder="1" applyAlignment="1">
      <alignment/>
    </xf>
    <xf numFmtId="189" fontId="12" fillId="7" borderId="1" xfId="0" applyNumberFormat="1" applyFont="1" applyFill="1" applyBorder="1" applyAlignment="1">
      <alignment/>
    </xf>
    <xf numFmtId="2" fontId="12" fillId="7" borderId="11" xfId="0" applyNumberFormat="1" applyFont="1" applyFill="1" applyBorder="1" applyAlignment="1">
      <alignment/>
    </xf>
    <xf numFmtId="2" fontId="12" fillId="7" borderId="2" xfId="0" applyNumberFormat="1" applyFont="1" applyFill="1" applyBorder="1" applyAlignment="1">
      <alignment/>
    </xf>
    <xf numFmtId="2" fontId="12" fillId="7" borderId="3" xfId="0" applyNumberFormat="1" applyFont="1" applyFill="1" applyBorder="1" applyAlignment="1">
      <alignment/>
    </xf>
    <xf numFmtId="2" fontId="6" fillId="2" borderId="16" xfId="0" applyNumberFormat="1" applyFont="1" applyFill="1" applyBorder="1" applyAlignment="1">
      <alignment/>
    </xf>
    <xf numFmtId="0" fontId="3" fillId="3" borderId="1" xfId="0" applyFont="1" applyFill="1" applyBorder="1" applyAlignment="1">
      <alignment/>
    </xf>
    <xf numFmtId="0" fontId="2" fillId="2" borderId="4" xfId="0" applyFont="1" applyFill="1" applyBorder="1" applyAlignment="1">
      <alignment/>
    </xf>
    <xf numFmtId="0" fontId="2" fillId="2" borderId="1" xfId="0" applyFont="1" applyFill="1" applyBorder="1" applyAlignment="1">
      <alignment/>
    </xf>
    <xf numFmtId="0" fontId="2" fillId="2" borderId="5" xfId="0" applyFont="1" applyFill="1" applyBorder="1" applyAlignment="1">
      <alignment/>
    </xf>
    <xf numFmtId="0" fontId="2" fillId="7" borderId="1" xfId="0" applyFont="1" applyFill="1" applyBorder="1" applyAlignment="1">
      <alignment/>
    </xf>
    <xf numFmtId="0" fontId="2" fillId="7" borderId="4" xfId="0" applyFont="1" applyFill="1" applyBorder="1" applyAlignment="1">
      <alignment/>
    </xf>
    <xf numFmtId="9" fontId="6" fillId="2" borderId="0" xfId="21" applyNumberFormat="1" applyFont="1" applyFill="1" applyBorder="1" applyAlignment="1">
      <alignment/>
    </xf>
    <xf numFmtId="9" fontId="1" fillId="2" borderId="0" xfId="0" applyNumberFormat="1" applyFont="1" applyFill="1" applyBorder="1" applyAlignment="1">
      <alignment/>
    </xf>
    <xf numFmtId="9" fontId="6" fillId="2" borderId="1" xfId="21" applyNumberFormat="1" applyFont="1" applyFill="1" applyBorder="1" applyAlignment="1">
      <alignment/>
    </xf>
    <xf numFmtId="9" fontId="0" fillId="2" borderId="0" xfId="0" applyNumberFormat="1" applyFill="1" applyAlignment="1">
      <alignment/>
    </xf>
    <xf numFmtId="0" fontId="6" fillId="2" borderId="0" xfId="0" applyFont="1" applyFill="1" applyBorder="1" applyAlignment="1">
      <alignment horizontal="right"/>
    </xf>
    <xf numFmtId="170" fontId="1" fillId="2" borderId="0" xfId="0" applyNumberFormat="1" applyFont="1" applyFill="1" applyBorder="1" applyAlignment="1">
      <alignment/>
    </xf>
    <xf numFmtId="1" fontId="6" fillId="2" borderId="11" xfId="0" applyNumberFormat="1" applyFont="1" applyFill="1" applyBorder="1" applyAlignment="1">
      <alignment/>
    </xf>
    <xf numFmtId="170" fontId="6" fillId="2" borderId="1" xfId="0" applyNumberFormat="1" applyFont="1" applyFill="1" applyBorder="1" applyAlignment="1">
      <alignment/>
    </xf>
    <xf numFmtId="0" fontId="0" fillId="2" borderId="2" xfId="0" applyFill="1" applyBorder="1" applyAlignment="1">
      <alignment/>
    </xf>
    <xf numFmtId="1" fontId="6" fillId="2" borderId="1" xfId="0" applyNumberFormat="1" applyFont="1" applyFill="1" applyBorder="1" applyAlignment="1">
      <alignment/>
    </xf>
    <xf numFmtId="1" fontId="6" fillId="2" borderId="5" xfId="0" applyNumberFormat="1" applyFont="1" applyFill="1" applyBorder="1" applyAlignment="1">
      <alignment/>
    </xf>
    <xf numFmtId="1" fontId="6" fillId="2" borderId="4" xfId="0" applyNumberFormat="1" applyFont="1" applyFill="1" applyBorder="1" applyAlignment="1">
      <alignment/>
    </xf>
    <xf numFmtId="193" fontId="10" fillId="7" borderId="4" xfId="21" applyNumberFormat="1" applyFont="1" applyFill="1" applyBorder="1" applyAlignment="1">
      <alignment/>
    </xf>
    <xf numFmtId="193" fontId="1" fillId="2" borderId="0" xfId="0" applyNumberFormat="1" applyFont="1" applyFill="1" applyBorder="1" applyAlignment="1">
      <alignment/>
    </xf>
    <xf numFmtId="193" fontId="10" fillId="7" borderId="16" xfId="0" applyNumberFormat="1" applyFont="1" applyFill="1" applyBorder="1" applyAlignment="1">
      <alignment/>
    </xf>
    <xf numFmtId="193" fontId="10" fillId="7" borderId="8" xfId="0" applyNumberFormat="1" applyFont="1" applyFill="1" applyBorder="1" applyAlignment="1">
      <alignment/>
    </xf>
    <xf numFmtId="193" fontId="10" fillId="7" borderId="19" xfId="0" applyNumberFormat="1" applyFont="1" applyFill="1" applyBorder="1" applyAlignment="1">
      <alignment/>
    </xf>
    <xf numFmtId="193" fontId="31" fillId="2" borderId="0" xfId="0" applyNumberFormat="1" applyFont="1" applyFill="1" applyBorder="1" applyAlignment="1">
      <alignment/>
    </xf>
    <xf numFmtId="193" fontId="5" fillId="2" borderId="0" xfId="21" applyNumberFormat="1" applyFont="1" applyFill="1" applyBorder="1" applyAlignment="1">
      <alignment/>
    </xf>
    <xf numFmtId="193" fontId="5" fillId="2" borderId="0" xfId="0" applyNumberFormat="1" applyFont="1" applyFill="1" applyBorder="1" applyAlignment="1">
      <alignment/>
    </xf>
    <xf numFmtId="9" fontId="10" fillId="7" borderId="8" xfId="0" applyNumberFormat="1" applyFont="1" applyFill="1" applyBorder="1" applyAlignment="1">
      <alignment/>
    </xf>
    <xf numFmtId="9" fontId="10" fillId="7" borderId="19" xfId="0" applyNumberFormat="1" applyFont="1" applyFill="1" applyBorder="1" applyAlignment="1">
      <alignment/>
    </xf>
    <xf numFmtId="9" fontId="31" fillId="2" borderId="0" xfId="0" applyNumberFormat="1" applyFont="1" applyFill="1" applyBorder="1" applyAlignment="1">
      <alignment/>
    </xf>
    <xf numFmtId="9" fontId="10" fillId="7" borderId="16" xfId="0" applyNumberFormat="1" applyFont="1" applyFill="1" applyBorder="1" applyAlignment="1">
      <alignment/>
    </xf>
    <xf numFmtId="2" fontId="12" fillId="2" borderId="11" xfId="0" applyNumberFormat="1" applyFont="1" applyFill="1" applyBorder="1" applyAlignment="1">
      <alignment/>
    </xf>
    <xf numFmtId="2" fontId="12" fillId="2" borderId="2" xfId="0" applyNumberFormat="1" applyFont="1" applyFill="1" applyBorder="1" applyAlignment="1">
      <alignment/>
    </xf>
    <xf numFmtId="2" fontId="12" fillId="2" borderId="3" xfId="0" applyNumberFormat="1" applyFont="1" applyFill="1" applyBorder="1" applyAlignment="1">
      <alignment/>
    </xf>
    <xf numFmtId="1" fontId="6" fillId="2" borderId="2" xfId="0" applyNumberFormat="1" applyFont="1" applyFill="1" applyBorder="1" applyAlignment="1">
      <alignment/>
    </xf>
    <xf numFmtId="1" fontId="6" fillId="2" borderId="8" xfId="0" applyNumberFormat="1" applyFont="1" applyFill="1" applyBorder="1" applyAlignment="1">
      <alignment/>
    </xf>
    <xf numFmtId="1" fontId="6" fillId="2" borderId="15" xfId="0" applyNumberFormat="1" applyFont="1" applyFill="1" applyBorder="1" applyAlignment="1">
      <alignment/>
    </xf>
    <xf numFmtId="1" fontId="6" fillId="2" borderId="9" xfId="0" applyNumberFormat="1" applyFont="1" applyFill="1" applyBorder="1" applyAlignment="1">
      <alignment/>
    </xf>
    <xf numFmtId="1" fontId="6" fillId="2" borderId="24" xfId="0" applyNumberFormat="1" applyFont="1" applyFill="1" applyBorder="1" applyAlignment="1">
      <alignment/>
    </xf>
    <xf numFmtId="1" fontId="6" fillId="2" borderId="25" xfId="0" applyNumberFormat="1" applyFont="1" applyFill="1" applyBorder="1" applyAlignment="1">
      <alignment/>
    </xf>
    <xf numFmtId="1" fontId="1" fillId="2" borderId="0" xfId="21" applyNumberFormat="1" applyFont="1" applyFill="1" applyBorder="1" applyAlignment="1">
      <alignment/>
    </xf>
    <xf numFmtId="1" fontId="6" fillId="2" borderId="3" xfId="0" applyNumberFormat="1" applyFont="1" applyFill="1" applyBorder="1" applyAlignment="1">
      <alignment/>
    </xf>
    <xf numFmtId="1" fontId="6" fillId="2" borderId="19" xfId="0" applyNumberFormat="1" applyFont="1" applyFill="1" applyBorder="1" applyAlignment="1">
      <alignment/>
    </xf>
    <xf numFmtId="2" fontId="0" fillId="2" borderId="0" xfId="0" applyNumberFormat="1" applyFill="1" applyAlignment="1">
      <alignment/>
    </xf>
    <xf numFmtId="2" fontId="6" fillId="4" borderId="0" xfId="0" applyNumberFormat="1" applyFont="1" applyFill="1" applyBorder="1" applyAlignment="1">
      <alignment/>
    </xf>
    <xf numFmtId="2" fontId="1" fillId="2" borderId="0" xfId="0" applyNumberFormat="1" applyFont="1" applyFill="1" applyBorder="1" applyAlignment="1">
      <alignment horizontal="center"/>
    </xf>
    <xf numFmtId="2" fontId="12" fillId="7" borderId="14" xfId="0" applyNumberFormat="1" applyFont="1" applyFill="1" applyBorder="1" applyAlignment="1">
      <alignment/>
    </xf>
    <xf numFmtId="193" fontId="10" fillId="2" borderId="0" xfId="21" applyNumberFormat="1" applyFont="1" applyFill="1" applyBorder="1" applyAlignment="1">
      <alignment horizontal="right"/>
    </xf>
    <xf numFmtId="0" fontId="10" fillId="2" borderId="0" xfId="0" applyFont="1" applyFill="1" applyBorder="1" applyAlignment="1">
      <alignment horizontal="right"/>
    </xf>
    <xf numFmtId="0" fontId="29" fillId="2" borderId="0" xfId="0" applyFont="1" applyFill="1" applyBorder="1" applyAlignment="1">
      <alignment horizontal="right"/>
    </xf>
    <xf numFmtId="0" fontId="26" fillId="2" borderId="0" xfId="0" applyFont="1" applyFill="1" applyBorder="1" applyAlignment="1">
      <alignment horizontal="right"/>
    </xf>
    <xf numFmtId="0" fontId="0" fillId="2" borderId="0" xfId="0" applyFill="1" applyAlignment="1">
      <alignment horizontal="right"/>
    </xf>
    <xf numFmtId="0" fontId="2" fillId="2" borderId="0" xfId="0" applyFont="1" applyFill="1" applyBorder="1" applyAlignment="1">
      <alignment horizontal="right" vertical="center"/>
    </xf>
    <xf numFmtId="2" fontId="1" fillId="2" borderId="20" xfId="0" applyNumberFormat="1" applyFont="1" applyFill="1" applyBorder="1" applyAlignment="1">
      <alignment/>
    </xf>
    <xf numFmtId="0" fontId="1" fillId="2" borderId="14" xfId="0" applyFont="1" applyFill="1" applyBorder="1" applyAlignment="1">
      <alignment/>
    </xf>
    <xf numFmtId="2" fontId="1" fillId="2" borderId="14" xfId="0" applyNumberFormat="1" applyFont="1" applyFill="1" applyBorder="1" applyAlignment="1">
      <alignment/>
    </xf>
    <xf numFmtId="2" fontId="2" fillId="2" borderId="0" xfId="0" applyNumberFormat="1" applyFont="1" applyFill="1" applyBorder="1" applyAlignment="1">
      <alignment/>
    </xf>
    <xf numFmtId="0" fontId="2" fillId="2" borderId="0" xfId="0" applyFont="1" applyFill="1" applyBorder="1" applyAlignment="1">
      <alignment/>
    </xf>
    <xf numFmtId="165" fontId="2" fillId="2" borderId="0" xfId="0" applyNumberFormat="1" applyFont="1" applyFill="1" applyBorder="1" applyAlignment="1">
      <alignment/>
    </xf>
    <xf numFmtId="165" fontId="6" fillId="4" borderId="0" xfId="0" applyNumberFormat="1" applyFont="1" applyFill="1" applyBorder="1" applyAlignment="1">
      <alignment/>
    </xf>
    <xf numFmtId="4" fontId="6" fillId="4" borderId="0" xfId="0" applyNumberFormat="1" applyFont="1" applyFill="1" applyBorder="1" applyAlignment="1">
      <alignment/>
    </xf>
    <xf numFmtId="2" fontId="6" fillId="4" borderId="0" xfId="0" applyNumberFormat="1" applyFont="1" applyFill="1" applyBorder="1" applyAlignment="1">
      <alignment/>
    </xf>
    <xf numFmtId="165" fontId="10" fillId="2" borderId="0" xfId="0" applyNumberFormat="1" applyFont="1" applyFill="1" applyBorder="1" applyAlignment="1">
      <alignment/>
    </xf>
    <xf numFmtId="2" fontId="1" fillId="2" borderId="0" xfId="0" applyNumberFormat="1" applyFont="1" applyFill="1" applyBorder="1" applyAlignment="1">
      <alignment/>
    </xf>
    <xf numFmtId="165" fontId="0" fillId="2" borderId="0" xfId="0" applyNumberFormat="1" applyFill="1" applyAlignment="1">
      <alignment/>
    </xf>
    <xf numFmtId="0" fontId="0" fillId="2" borderId="0" xfId="0" applyFill="1" applyAlignment="1">
      <alignment/>
    </xf>
    <xf numFmtId="2" fontId="0" fillId="2" borderId="0" xfId="0" applyNumberFormat="1" applyFill="1" applyAlignment="1">
      <alignment/>
    </xf>
    <xf numFmtId="165" fontId="2" fillId="2" borderId="0" xfId="0" applyNumberFormat="1" applyFont="1" applyFill="1" applyBorder="1" applyAlignment="1">
      <alignment horizontal="left"/>
    </xf>
    <xf numFmtId="164" fontId="33" fillId="2" borderId="1" xfId="0" applyNumberFormat="1" applyFont="1" applyFill="1" applyBorder="1" applyAlignment="1">
      <alignment/>
    </xf>
    <xf numFmtId="165" fontId="33" fillId="2" borderId="1" xfId="0" applyNumberFormat="1" applyFont="1" applyFill="1" applyBorder="1" applyAlignment="1">
      <alignment/>
    </xf>
    <xf numFmtId="0" fontId="33" fillId="2" borderId="0" xfId="0" applyFont="1" applyFill="1" applyBorder="1" applyAlignment="1">
      <alignment/>
    </xf>
    <xf numFmtId="164" fontId="33" fillId="2" borderId="5" xfId="21" applyNumberFormat="1" applyFont="1" applyFill="1" applyBorder="1" applyAlignment="1">
      <alignment/>
    </xf>
    <xf numFmtId="165" fontId="33" fillId="2" borderId="5" xfId="0" applyNumberFormat="1" applyFont="1" applyFill="1" applyBorder="1" applyAlignment="1">
      <alignment/>
    </xf>
    <xf numFmtId="164" fontId="33" fillId="2" borderId="10" xfId="21" applyNumberFormat="1" applyFont="1" applyFill="1" applyBorder="1" applyAlignment="1">
      <alignment/>
    </xf>
    <xf numFmtId="165" fontId="33" fillId="2" borderId="10" xfId="0" applyNumberFormat="1" applyFont="1" applyFill="1" applyBorder="1" applyAlignment="1">
      <alignment/>
    </xf>
    <xf numFmtId="3" fontId="6" fillId="2" borderId="0" xfId="0" applyNumberFormat="1" applyFont="1" applyFill="1" applyBorder="1" applyAlignment="1">
      <alignment horizontal="right"/>
    </xf>
    <xf numFmtId="0" fontId="1" fillId="2" borderId="21" xfId="0" applyFont="1" applyFill="1" applyBorder="1" applyAlignment="1">
      <alignment vertical="center" wrapText="1"/>
    </xf>
    <xf numFmtId="0" fontId="0" fillId="2" borderId="21" xfId="0" applyFill="1" applyBorder="1" applyAlignment="1">
      <alignment vertical="center" wrapText="1"/>
    </xf>
    <xf numFmtId="0" fontId="30" fillId="2" borderId="14" xfId="0" applyFont="1" applyFill="1" applyBorder="1" applyAlignment="1">
      <alignment vertical="center" wrapText="1"/>
    </xf>
    <xf numFmtId="0" fontId="1" fillId="2" borderId="1" xfId="0" applyFont="1" applyFill="1" applyBorder="1" applyAlignment="1">
      <alignment horizontal="center" wrapText="1"/>
    </xf>
    <xf numFmtId="0" fontId="1" fillId="2" borderId="4" xfId="0" applyFont="1" applyFill="1" applyBorder="1" applyAlignment="1">
      <alignment horizontal="center" wrapText="1"/>
    </xf>
    <xf numFmtId="0" fontId="1" fillId="2" borderId="20" xfId="0" applyFont="1" applyFill="1" applyBorder="1" applyAlignment="1">
      <alignment horizontal="center"/>
    </xf>
    <xf numFmtId="0" fontId="1" fillId="2" borderId="22" xfId="0" applyFont="1" applyFill="1" applyBorder="1" applyAlignment="1">
      <alignment horizontal="center"/>
    </xf>
    <xf numFmtId="2" fontId="30" fillId="2" borderId="0" xfId="0" applyNumberFormat="1" applyFont="1" applyFill="1" applyBorder="1" applyAlignment="1">
      <alignment vertical="top" wrapText="1"/>
    </xf>
    <xf numFmtId="0" fontId="30" fillId="0" borderId="0" xfId="0" applyFont="1" applyAlignment="1">
      <alignment/>
    </xf>
    <xf numFmtId="0" fontId="0" fillId="2" borderId="23" xfId="0" applyFill="1" applyBorder="1" applyAlignment="1">
      <alignment horizontal="center"/>
    </xf>
    <xf numFmtId="0" fontId="0" fillId="2" borderId="22" xfId="0" applyFill="1" applyBorder="1" applyAlignment="1">
      <alignment horizontal="center"/>
    </xf>
    <xf numFmtId="0" fontId="16" fillId="2" borderId="0" xfId="0" applyFont="1" applyFill="1" applyAlignment="1">
      <alignment horizontal="left"/>
    </xf>
    <xf numFmtId="0" fontId="2" fillId="8" borderId="14" xfId="0" applyFont="1" applyFill="1" applyBorder="1" applyAlignment="1">
      <alignment horizontal="center" vertical="center"/>
    </xf>
    <xf numFmtId="0" fontId="0" fillId="8" borderId="14" xfId="0" applyFill="1" applyBorder="1" applyAlignment="1">
      <alignment/>
    </xf>
    <xf numFmtId="0" fontId="2" fillId="9" borderId="14" xfId="0" applyFont="1" applyFill="1" applyBorder="1" applyAlignment="1">
      <alignment horizontal="center" vertical="center"/>
    </xf>
    <xf numFmtId="0" fontId="0" fillId="9" borderId="14" xfId="0" applyFill="1" applyBorder="1" applyAlignment="1">
      <alignment/>
    </xf>
    <xf numFmtId="0" fontId="2" fillId="10" borderId="14" xfId="0" applyFont="1" applyFill="1" applyBorder="1" applyAlignment="1">
      <alignment horizontal="center" vertical="center"/>
    </xf>
    <xf numFmtId="0" fontId="0" fillId="10" borderId="14" xfId="0" applyFill="1" applyBorder="1" applyAlignment="1">
      <alignment/>
    </xf>
    <xf numFmtId="0" fontId="2" fillId="11" borderId="14" xfId="0" applyFont="1" applyFill="1" applyBorder="1" applyAlignment="1">
      <alignment horizontal="center" vertical="center"/>
    </xf>
    <xf numFmtId="0" fontId="0" fillId="11" borderId="14" xfId="0" applyFill="1" applyBorder="1" applyAlignment="1">
      <alignment/>
    </xf>
    <xf numFmtId="0" fontId="2" fillId="12" borderId="14" xfId="0" applyFont="1" applyFill="1" applyBorder="1" applyAlignment="1">
      <alignment horizontal="center" vertical="center"/>
    </xf>
    <xf numFmtId="0" fontId="0" fillId="12" borderId="14" xfId="0" applyFill="1"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7">
    <dxf>
      <fill>
        <patternFill>
          <bgColor rgb="FFFFFFFF"/>
        </patternFill>
      </fill>
      <border/>
    </dxf>
    <dxf>
      <font>
        <b/>
        <i val="0"/>
      </font>
      <fill>
        <patternFill>
          <bgColor rgb="FF000099"/>
        </patternFill>
      </fill>
      <border/>
    </dxf>
    <dxf>
      <fill>
        <patternFill>
          <bgColor rgb="FFEBEBFF"/>
        </patternFill>
      </fill>
      <border>
        <left style="thin">
          <color rgb="FF000000"/>
        </left>
        <right style="thin">
          <color rgb="FF000000"/>
        </right>
        <top style="thin">
          <color rgb="FF000000"/>
        </top>
        <bottom>
          <color rgb="FF000000"/>
        </bottom>
      </border>
    </dxf>
    <dxf>
      <fill>
        <patternFill>
          <bgColor rgb="FFEBEBFF"/>
        </patternFill>
      </fill>
      <border>
        <left style="thin">
          <color rgb="FF000000"/>
        </left>
        <right style="thin">
          <color rgb="FF000000"/>
        </right>
        <top/>
        <bottom style="thin">
          <color rgb="FF000000"/>
        </bottom>
      </border>
    </dxf>
    <dxf>
      <border>
        <left style="thin">
          <color rgb="FF000000"/>
        </left>
        <right style="thin">
          <color rgb="FF000000"/>
        </right>
        <top style="thin">
          <color rgb="FF000000"/>
        </top>
        <bottom>
          <color rgb="FF000000"/>
        </bottom>
      </border>
    </dxf>
    <dxf>
      <border>
        <left style="thin">
          <color rgb="FF000000"/>
        </left>
        <right style="thin">
          <color rgb="FF000000"/>
        </right>
        <top/>
        <bottom style="thin">
          <color rgb="FF000000"/>
        </bottom>
      </border>
    </dxf>
    <dxf>
      <font>
        <b/>
        <i val="0"/>
        <color rgb="FFFFFFFF"/>
      </font>
      <fill>
        <patternFill>
          <bgColor rgb="FF000099"/>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FFFFFF"/>
      <rgbColor rgb="00FFFFFF"/>
      <rgbColor rgb="00FF0000"/>
      <rgbColor rgb="0000FF00"/>
      <rgbColor rgb="000000FF"/>
      <rgbColor rgb="00FFFF00"/>
      <rgbColor rgb="00FF00FF"/>
      <rgbColor rgb="0000FFFF"/>
      <rgbColor rgb="000000CE"/>
      <rgbColor rgb="00008000"/>
      <rgbColor rgb="00000099"/>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0000A8"/>
      <rgbColor rgb="00666699"/>
      <rgbColor rgb="00969696"/>
      <rgbColor rgb="00B3B3FF"/>
      <rgbColor rgb="00339966"/>
      <rgbColor rgb="00C5C5FF"/>
      <rgbColor rgb="00D9D9FF"/>
      <rgbColor rgb="00EBEBFF"/>
      <rgbColor rgb="00993366"/>
      <rgbColor rgb="009F9FFF"/>
      <rgbColor rgb="008D8D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http://www.etnafrance.org/logo-arcep.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533400</xdr:colOff>
      <xdr:row>42</xdr:row>
      <xdr:rowOff>57150</xdr:rowOff>
    </xdr:from>
    <xdr:to>
      <xdr:col>9</xdr:col>
      <xdr:colOff>762000</xdr:colOff>
      <xdr:row>54</xdr:row>
      <xdr:rowOff>133350</xdr:rowOff>
    </xdr:to>
    <xdr:pic>
      <xdr:nvPicPr>
        <xdr:cNvPr id="1" name="Picture 4"/>
        <xdr:cNvPicPr preferRelativeResize="1">
          <a:picLocks noChangeAspect="1"/>
        </xdr:cNvPicPr>
      </xdr:nvPicPr>
      <xdr:blipFill>
        <a:blip r:embed="rId1"/>
        <a:stretch>
          <a:fillRect/>
        </a:stretch>
      </xdr:blipFill>
      <xdr:spPr>
        <a:xfrm>
          <a:off x="4076700" y="6543675"/>
          <a:ext cx="2514600" cy="1847850"/>
        </a:xfrm>
        <a:prstGeom prst="rect">
          <a:avLst/>
        </a:prstGeom>
        <a:noFill/>
        <a:ln w="9525" cmpd="sng">
          <a:noFill/>
        </a:ln>
      </xdr:spPr>
    </xdr:pic>
    <xdr:clientData/>
  </xdr:twoCellAnchor>
  <xdr:twoCellAnchor>
    <xdr:from>
      <xdr:col>2</xdr:col>
      <xdr:colOff>0</xdr:colOff>
      <xdr:row>47</xdr:row>
      <xdr:rowOff>104775</xdr:rowOff>
    </xdr:from>
    <xdr:to>
      <xdr:col>3</xdr:col>
      <xdr:colOff>333375</xdr:colOff>
      <xdr:row>54</xdr:row>
      <xdr:rowOff>123825</xdr:rowOff>
    </xdr:to>
    <xdr:pic>
      <xdr:nvPicPr>
        <xdr:cNvPr id="2" name="Picture 6"/>
        <xdr:cNvPicPr preferRelativeResize="1">
          <a:picLocks noChangeAspect="1"/>
        </xdr:cNvPicPr>
      </xdr:nvPicPr>
      <xdr:blipFill>
        <a:blip r:link="rId2"/>
        <a:stretch>
          <a:fillRect/>
        </a:stretch>
      </xdr:blipFill>
      <xdr:spPr>
        <a:xfrm>
          <a:off x="495300" y="7305675"/>
          <a:ext cx="1095375" cy="1076325"/>
        </a:xfrm>
        <a:prstGeom prst="rect">
          <a:avLst/>
        </a:prstGeom>
        <a:noFill/>
        <a:ln w="9525" cmpd="sng">
          <a:noFill/>
        </a:ln>
      </xdr:spPr>
    </xdr:pic>
    <xdr:clientData/>
  </xdr:twoCellAnchor>
  <xdr:twoCellAnchor>
    <xdr:from>
      <xdr:col>0</xdr:col>
      <xdr:colOff>0</xdr:colOff>
      <xdr:row>6</xdr:row>
      <xdr:rowOff>66675</xdr:rowOff>
    </xdr:from>
    <xdr:to>
      <xdr:col>9</xdr:col>
      <xdr:colOff>762000</xdr:colOff>
      <xdr:row>6</xdr:row>
      <xdr:rowOff>66675</xdr:rowOff>
    </xdr:to>
    <xdr:sp>
      <xdr:nvSpPr>
        <xdr:cNvPr id="3" name="AutoShape 3"/>
        <xdr:cNvSpPr>
          <a:spLocks/>
        </xdr:cNvSpPr>
      </xdr:nvSpPr>
      <xdr:spPr>
        <a:xfrm>
          <a:off x="0" y="1009650"/>
          <a:ext cx="6591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76200</xdr:colOff>
      <xdr:row>0</xdr:row>
      <xdr:rowOff>0</xdr:rowOff>
    </xdr:from>
    <xdr:ext cx="76200" cy="200025"/>
    <xdr:sp>
      <xdr:nvSpPr>
        <xdr:cNvPr id="1" name="TextBox 1"/>
        <xdr:cNvSpPr txBox="1">
          <a:spLocks noChangeArrowheads="1"/>
        </xdr:cNvSpPr>
      </xdr:nvSpPr>
      <xdr:spPr>
        <a:xfrm>
          <a:off x="1962150" y="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76200</xdr:colOff>
      <xdr:row>0</xdr:row>
      <xdr:rowOff>0</xdr:rowOff>
    </xdr:from>
    <xdr:ext cx="76200" cy="200025"/>
    <xdr:sp>
      <xdr:nvSpPr>
        <xdr:cNvPr id="2" name="TextBox 2"/>
        <xdr:cNvSpPr txBox="1">
          <a:spLocks noChangeArrowheads="1"/>
        </xdr:cNvSpPr>
      </xdr:nvSpPr>
      <xdr:spPr>
        <a:xfrm>
          <a:off x="1962150" y="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76200</xdr:colOff>
      <xdr:row>0</xdr:row>
      <xdr:rowOff>0</xdr:rowOff>
    </xdr:from>
    <xdr:ext cx="76200" cy="200025"/>
    <xdr:sp>
      <xdr:nvSpPr>
        <xdr:cNvPr id="3" name="TextBox 3"/>
        <xdr:cNvSpPr txBox="1">
          <a:spLocks noChangeArrowheads="1"/>
        </xdr:cNvSpPr>
      </xdr:nvSpPr>
      <xdr:spPr>
        <a:xfrm>
          <a:off x="1962150" y="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76200</xdr:colOff>
      <xdr:row>1</xdr:row>
      <xdr:rowOff>0</xdr:rowOff>
    </xdr:from>
    <xdr:ext cx="76200" cy="200025"/>
    <xdr:sp>
      <xdr:nvSpPr>
        <xdr:cNvPr id="4" name="TextBox 4"/>
        <xdr:cNvSpPr txBox="1">
          <a:spLocks noChangeArrowheads="1"/>
        </xdr:cNvSpPr>
      </xdr:nvSpPr>
      <xdr:spPr>
        <a:xfrm>
          <a:off x="1962150" y="22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76200</xdr:colOff>
      <xdr:row>1</xdr:row>
      <xdr:rowOff>0</xdr:rowOff>
    </xdr:from>
    <xdr:ext cx="76200" cy="200025"/>
    <xdr:sp>
      <xdr:nvSpPr>
        <xdr:cNvPr id="5" name="TextBox 5"/>
        <xdr:cNvSpPr txBox="1">
          <a:spLocks noChangeArrowheads="1"/>
        </xdr:cNvSpPr>
      </xdr:nvSpPr>
      <xdr:spPr>
        <a:xfrm>
          <a:off x="1962150" y="22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76200</xdr:colOff>
      <xdr:row>1</xdr:row>
      <xdr:rowOff>0</xdr:rowOff>
    </xdr:from>
    <xdr:ext cx="76200" cy="200025"/>
    <xdr:sp>
      <xdr:nvSpPr>
        <xdr:cNvPr id="6" name="TextBox 6"/>
        <xdr:cNvSpPr txBox="1">
          <a:spLocks noChangeArrowheads="1"/>
        </xdr:cNvSpPr>
      </xdr:nvSpPr>
      <xdr:spPr>
        <a:xfrm>
          <a:off x="1962150" y="22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28</xdr:col>
      <xdr:colOff>76200</xdr:colOff>
      <xdr:row>25</xdr:row>
      <xdr:rowOff>0</xdr:rowOff>
    </xdr:from>
    <xdr:ext cx="76200" cy="209550"/>
    <xdr:sp>
      <xdr:nvSpPr>
        <xdr:cNvPr id="7" name="TextBox 7"/>
        <xdr:cNvSpPr txBox="1">
          <a:spLocks noChangeArrowheads="1"/>
        </xdr:cNvSpPr>
      </xdr:nvSpPr>
      <xdr:spPr>
        <a:xfrm>
          <a:off x="21231225" y="39147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28</xdr:col>
      <xdr:colOff>76200</xdr:colOff>
      <xdr:row>25</xdr:row>
      <xdr:rowOff>0</xdr:rowOff>
    </xdr:from>
    <xdr:ext cx="76200" cy="209550"/>
    <xdr:sp>
      <xdr:nvSpPr>
        <xdr:cNvPr id="8" name="TextBox 8"/>
        <xdr:cNvSpPr txBox="1">
          <a:spLocks noChangeArrowheads="1"/>
        </xdr:cNvSpPr>
      </xdr:nvSpPr>
      <xdr:spPr>
        <a:xfrm>
          <a:off x="21231225" y="39147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28</xdr:col>
      <xdr:colOff>76200</xdr:colOff>
      <xdr:row>37</xdr:row>
      <xdr:rowOff>0</xdr:rowOff>
    </xdr:from>
    <xdr:ext cx="76200" cy="209550"/>
    <xdr:sp>
      <xdr:nvSpPr>
        <xdr:cNvPr id="9" name="TextBox 9"/>
        <xdr:cNvSpPr txBox="1">
          <a:spLocks noChangeArrowheads="1"/>
        </xdr:cNvSpPr>
      </xdr:nvSpPr>
      <xdr:spPr>
        <a:xfrm>
          <a:off x="21231225" y="57435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28</xdr:col>
      <xdr:colOff>76200</xdr:colOff>
      <xdr:row>37</xdr:row>
      <xdr:rowOff>0</xdr:rowOff>
    </xdr:from>
    <xdr:ext cx="76200" cy="209550"/>
    <xdr:sp>
      <xdr:nvSpPr>
        <xdr:cNvPr id="10" name="TextBox 10"/>
        <xdr:cNvSpPr txBox="1">
          <a:spLocks noChangeArrowheads="1"/>
        </xdr:cNvSpPr>
      </xdr:nvSpPr>
      <xdr:spPr>
        <a:xfrm>
          <a:off x="21231225" y="57435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28</xdr:col>
      <xdr:colOff>76200</xdr:colOff>
      <xdr:row>42</xdr:row>
      <xdr:rowOff>0</xdr:rowOff>
    </xdr:from>
    <xdr:ext cx="76200" cy="209550"/>
    <xdr:sp>
      <xdr:nvSpPr>
        <xdr:cNvPr id="11" name="TextBox 11"/>
        <xdr:cNvSpPr txBox="1">
          <a:spLocks noChangeArrowheads="1"/>
        </xdr:cNvSpPr>
      </xdr:nvSpPr>
      <xdr:spPr>
        <a:xfrm>
          <a:off x="21231225" y="65532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28</xdr:col>
      <xdr:colOff>76200</xdr:colOff>
      <xdr:row>42</xdr:row>
      <xdr:rowOff>0</xdr:rowOff>
    </xdr:from>
    <xdr:ext cx="76200" cy="209550"/>
    <xdr:sp>
      <xdr:nvSpPr>
        <xdr:cNvPr id="12" name="TextBox 12"/>
        <xdr:cNvSpPr txBox="1">
          <a:spLocks noChangeArrowheads="1"/>
        </xdr:cNvSpPr>
      </xdr:nvSpPr>
      <xdr:spPr>
        <a:xfrm>
          <a:off x="21231225" y="65532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76200</xdr:colOff>
      <xdr:row>42</xdr:row>
      <xdr:rowOff>0</xdr:rowOff>
    </xdr:from>
    <xdr:ext cx="76200" cy="209550"/>
    <xdr:sp>
      <xdr:nvSpPr>
        <xdr:cNvPr id="1" name="TextBox 1"/>
        <xdr:cNvSpPr txBox="1">
          <a:spLocks noChangeArrowheads="1"/>
        </xdr:cNvSpPr>
      </xdr:nvSpPr>
      <xdr:spPr>
        <a:xfrm>
          <a:off x="3314700" y="6867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76200</xdr:colOff>
      <xdr:row>46</xdr:row>
      <xdr:rowOff>0</xdr:rowOff>
    </xdr:from>
    <xdr:ext cx="76200" cy="209550"/>
    <xdr:sp>
      <xdr:nvSpPr>
        <xdr:cNvPr id="2" name="TextBox 2"/>
        <xdr:cNvSpPr txBox="1">
          <a:spLocks noChangeArrowheads="1"/>
        </xdr:cNvSpPr>
      </xdr:nvSpPr>
      <xdr:spPr>
        <a:xfrm>
          <a:off x="4029075" y="75152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76200</xdr:colOff>
      <xdr:row>6</xdr:row>
      <xdr:rowOff>0</xdr:rowOff>
    </xdr:from>
    <xdr:ext cx="76200" cy="209550"/>
    <xdr:sp>
      <xdr:nvSpPr>
        <xdr:cNvPr id="1" name="TextBox 1"/>
        <xdr:cNvSpPr txBox="1">
          <a:spLocks noChangeArrowheads="1"/>
        </xdr:cNvSpPr>
      </xdr:nvSpPr>
      <xdr:spPr>
        <a:xfrm>
          <a:off x="4648200" y="10382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76200</xdr:colOff>
      <xdr:row>25</xdr:row>
      <xdr:rowOff>0</xdr:rowOff>
    </xdr:from>
    <xdr:ext cx="76200" cy="209550"/>
    <xdr:sp>
      <xdr:nvSpPr>
        <xdr:cNvPr id="2" name="TextBox 2"/>
        <xdr:cNvSpPr txBox="1">
          <a:spLocks noChangeArrowheads="1"/>
        </xdr:cNvSpPr>
      </xdr:nvSpPr>
      <xdr:spPr>
        <a:xfrm>
          <a:off x="571500" y="41148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xdr:colOff>
      <xdr:row>30</xdr:row>
      <xdr:rowOff>0</xdr:rowOff>
    </xdr:from>
    <xdr:ext cx="76200" cy="209550"/>
    <xdr:sp>
      <xdr:nvSpPr>
        <xdr:cNvPr id="3" name="TextBox 3"/>
        <xdr:cNvSpPr txBox="1">
          <a:spLocks noChangeArrowheads="1"/>
        </xdr:cNvSpPr>
      </xdr:nvSpPr>
      <xdr:spPr>
        <a:xfrm>
          <a:off x="4648200" y="49244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xdr:colOff>
      <xdr:row>16</xdr:row>
      <xdr:rowOff>0</xdr:rowOff>
    </xdr:from>
    <xdr:ext cx="76200" cy="209550"/>
    <xdr:sp>
      <xdr:nvSpPr>
        <xdr:cNvPr id="4" name="TextBox 4"/>
        <xdr:cNvSpPr txBox="1">
          <a:spLocks noChangeArrowheads="1"/>
        </xdr:cNvSpPr>
      </xdr:nvSpPr>
      <xdr:spPr>
        <a:xfrm>
          <a:off x="4648200" y="2657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76200</xdr:colOff>
      <xdr:row>38</xdr:row>
      <xdr:rowOff>0</xdr:rowOff>
    </xdr:from>
    <xdr:ext cx="76200" cy="209550"/>
    <xdr:sp>
      <xdr:nvSpPr>
        <xdr:cNvPr id="5" name="TextBox 5"/>
        <xdr:cNvSpPr txBox="1">
          <a:spLocks noChangeArrowheads="1"/>
        </xdr:cNvSpPr>
      </xdr:nvSpPr>
      <xdr:spPr>
        <a:xfrm>
          <a:off x="3886200" y="61531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76200</xdr:colOff>
      <xdr:row>38</xdr:row>
      <xdr:rowOff>0</xdr:rowOff>
    </xdr:from>
    <xdr:ext cx="76200" cy="209550"/>
    <xdr:sp>
      <xdr:nvSpPr>
        <xdr:cNvPr id="6" name="TextBox 6"/>
        <xdr:cNvSpPr txBox="1">
          <a:spLocks noChangeArrowheads="1"/>
        </xdr:cNvSpPr>
      </xdr:nvSpPr>
      <xdr:spPr>
        <a:xfrm>
          <a:off x="3886200" y="61531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76200</xdr:colOff>
      <xdr:row>38</xdr:row>
      <xdr:rowOff>0</xdr:rowOff>
    </xdr:from>
    <xdr:ext cx="76200" cy="209550"/>
    <xdr:sp>
      <xdr:nvSpPr>
        <xdr:cNvPr id="7" name="TextBox 7"/>
        <xdr:cNvSpPr txBox="1">
          <a:spLocks noChangeArrowheads="1"/>
        </xdr:cNvSpPr>
      </xdr:nvSpPr>
      <xdr:spPr>
        <a:xfrm>
          <a:off x="3886200" y="61531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209550</xdr:colOff>
      <xdr:row>62</xdr:row>
      <xdr:rowOff>0</xdr:rowOff>
    </xdr:from>
    <xdr:ext cx="76200" cy="209550"/>
    <xdr:sp>
      <xdr:nvSpPr>
        <xdr:cNvPr id="8" name="TextBox 8"/>
        <xdr:cNvSpPr txBox="1">
          <a:spLocks noChangeArrowheads="1"/>
        </xdr:cNvSpPr>
      </xdr:nvSpPr>
      <xdr:spPr>
        <a:xfrm>
          <a:off x="4781550" y="10039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_SFM\SFM%20-%20Fixe\perso\Victor\mod&#232;le%2011%20juillet%202005%20-%203%20fichiers\Restitution%20squeez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mmaire"/>
      <sheetName val="Format restit"/>
      <sheetName val="Index"/>
      <sheetName val="Coûts"/>
      <sheetName val="Recettes"/>
    </sheetNames>
    <sheetDataSet>
      <sheetData sheetId="2">
        <row r="871">
          <cell r="G871">
            <v>111011</v>
          </cell>
          <cell r="H871">
            <v>3.542467279683559</v>
          </cell>
          <cell r="I871">
            <v>0.054638925688602596</v>
          </cell>
          <cell r="J871">
            <v>0.5715715167775934</v>
          </cell>
          <cell r="K871">
            <v>0.12742142857142857</v>
          </cell>
          <cell r="L871">
            <v>0.11505348214285714</v>
          </cell>
          <cell r="M871">
            <v>0.8686853531804818</v>
          </cell>
          <cell r="O871">
            <v>0.2201363808908206</v>
          </cell>
          <cell r="P871">
            <v>0.02494928440126049</v>
          </cell>
          <cell r="Q871">
            <v>0.2450856652920811</v>
          </cell>
          <cell r="R871">
            <v>0.054638925688602596</v>
          </cell>
          <cell r="S871">
            <v>0.5715715167775934</v>
          </cell>
          <cell r="T871">
            <v>0.12742142857142857</v>
          </cell>
          <cell r="U871">
            <v>0.11505348214285714</v>
          </cell>
          <cell r="V871">
            <v>0.8686853531804818</v>
          </cell>
          <cell r="W871">
            <v>0.005978860515667803</v>
          </cell>
          <cell r="X871">
            <v>0.6629869364350243</v>
          </cell>
          <cell r="Y871">
            <v>0.07991038895198527</v>
          </cell>
          <cell r="Z871">
            <v>2.7313325575557217</v>
          </cell>
        </row>
        <row r="872">
          <cell r="G872">
            <v>111021</v>
          </cell>
          <cell r="H872">
            <v>4.6935440879330566</v>
          </cell>
          <cell r="I872">
            <v>0.08726141548667415</v>
          </cell>
          <cell r="J872">
            <v>0.6344332999999999</v>
          </cell>
          <cell r="K872">
            <v>0.12742142857142857</v>
          </cell>
          <cell r="L872">
            <v>0.11505348214285714</v>
          </cell>
          <cell r="M872">
            <v>0.9641696262009597</v>
          </cell>
          <cell r="O872">
            <v>0.2201363808908206</v>
          </cell>
          <cell r="P872">
            <v>0.02494928440126049</v>
          </cell>
          <cell r="Q872">
            <v>0.2450856652920811</v>
          </cell>
          <cell r="R872">
            <v>0.08726141548667415</v>
          </cell>
          <cell r="S872">
            <v>0.6344332999999999</v>
          </cell>
          <cell r="T872">
            <v>0.12742142857142857</v>
          </cell>
          <cell r="U872">
            <v>0.11505348214285714</v>
          </cell>
          <cell r="V872">
            <v>0.9641696262009597</v>
          </cell>
          <cell r="W872">
            <v>0.007921610338316442</v>
          </cell>
          <cell r="X872">
            <v>0.9273198377691406</v>
          </cell>
          <cell r="Y872">
            <v>0.1031716842693875</v>
          </cell>
          <cell r="Z872">
            <v>3.211838050070845</v>
          </cell>
        </row>
        <row r="873">
          <cell r="G873">
            <v>111031</v>
          </cell>
          <cell r="H873">
            <v>4.6077881769778655</v>
          </cell>
          <cell r="I873">
            <v>0.08692781786600495</v>
          </cell>
          <cell r="J873">
            <v>0.6563362999999999</v>
          </cell>
          <cell r="K873">
            <v>0.12742142857142857</v>
          </cell>
          <cell r="L873">
            <v>0.11505348214285714</v>
          </cell>
          <cell r="M873">
            <v>0.9857390285802906</v>
          </cell>
          <cell r="N873">
            <v>0.5889788635977029</v>
          </cell>
          <cell r="O873">
            <v>0.2201363808908206</v>
          </cell>
          <cell r="P873">
            <v>0.02494928440126049</v>
          </cell>
          <cell r="Q873">
            <v>0.2450856652920811</v>
          </cell>
          <cell r="R873">
            <v>0.08692781786600495</v>
          </cell>
          <cell r="S873">
            <v>0.6563362999999999</v>
          </cell>
          <cell r="T873">
            <v>0.12742142857142857</v>
          </cell>
          <cell r="U873">
            <v>0.11505348214285714</v>
          </cell>
          <cell r="V873">
            <v>0.9857390285802906</v>
          </cell>
          <cell r="W873">
            <v>0.007776874314095235</v>
          </cell>
          <cell r="X873">
            <v>0.9058305494598198</v>
          </cell>
          <cell r="Y873">
            <v>0.10128062689816726</v>
          </cell>
          <cell r="Z873">
            <v>3.2314517731247445</v>
          </cell>
        </row>
        <row r="874">
          <cell r="G874">
            <v>111022</v>
          </cell>
          <cell r="H874">
            <v>4.605554098615044</v>
          </cell>
          <cell r="I874">
            <v>0.08726141548667415</v>
          </cell>
          <cell r="J874">
            <v>0.6344332999999999</v>
          </cell>
          <cell r="K874">
            <v>0.12742142857142857</v>
          </cell>
          <cell r="L874">
            <v>0.11505348214285714</v>
          </cell>
          <cell r="M874">
            <v>0.9641696262009597</v>
          </cell>
          <cell r="O874">
            <v>0.2201363808908206</v>
          </cell>
          <cell r="P874">
            <v>0.02494928440126049</v>
          </cell>
          <cell r="Q874">
            <v>0.2450856652920811</v>
          </cell>
          <cell r="R874">
            <v>0.08726141548667415</v>
          </cell>
          <cell r="S874">
            <v>0.6344332999999999</v>
          </cell>
          <cell r="T874">
            <v>0.12742142857142857</v>
          </cell>
          <cell r="U874">
            <v>0.11505348214285714</v>
          </cell>
          <cell r="V874">
            <v>0.9641696262009597</v>
          </cell>
          <cell r="W874">
            <v>0.007773103709638565</v>
          </cell>
          <cell r="X874">
            <v>0.9273198377691406</v>
          </cell>
          <cell r="Y874">
            <v>0.1031716842693875</v>
          </cell>
          <cell r="Z874">
            <v>3.211689543442167</v>
          </cell>
        </row>
        <row r="875">
          <cell r="G875">
            <v>111032</v>
          </cell>
          <cell r="H875">
            <v>4.548156823821341</v>
          </cell>
          <cell r="I875">
            <v>0.08692781786600495</v>
          </cell>
          <cell r="J875">
            <v>0.6563362999999999</v>
          </cell>
          <cell r="K875">
            <v>0.12742142857142857</v>
          </cell>
          <cell r="L875">
            <v>0.11505348214285714</v>
          </cell>
          <cell r="M875">
            <v>0.9857390285802906</v>
          </cell>
          <cell r="N875">
            <v>0.5889788635977029</v>
          </cell>
          <cell r="O875">
            <v>0.2201363808908206</v>
          </cell>
          <cell r="P875">
            <v>0.02494928440126049</v>
          </cell>
          <cell r="Q875">
            <v>0.2450856652920811</v>
          </cell>
          <cell r="R875">
            <v>0.08692781786600495</v>
          </cell>
          <cell r="S875">
            <v>0.6563362999999999</v>
          </cell>
          <cell r="T875">
            <v>0.12742142857142857</v>
          </cell>
          <cell r="U875">
            <v>0.11505348214285714</v>
          </cell>
          <cell r="V875">
            <v>0.9857390285802906</v>
          </cell>
          <cell r="W875">
            <v>0.007676230464841322</v>
          </cell>
          <cell r="X875">
            <v>0.9058305494598198</v>
          </cell>
          <cell r="Y875">
            <v>0.10128062689816726</v>
          </cell>
          <cell r="Z875">
            <v>3.2313511292754904</v>
          </cell>
        </row>
        <row r="876">
          <cell r="G876">
            <v>112011</v>
          </cell>
          <cell r="H876">
            <v>6.182931245691015</v>
          </cell>
          <cell r="I876">
            <v>0.029303175847263545</v>
          </cell>
          <cell r="J876">
            <v>0.5318877851320399</v>
          </cell>
          <cell r="K876">
            <v>0.12742142857142857</v>
          </cell>
          <cell r="L876">
            <v>0.11505348214285714</v>
          </cell>
          <cell r="M876">
            <v>0.8036658716935892</v>
          </cell>
          <cell r="O876">
            <v>0.4402727617816412</v>
          </cell>
          <cell r="P876">
            <v>0.31601770957943914</v>
          </cell>
          <cell r="Q876">
            <v>0.7562904713610803</v>
          </cell>
          <cell r="R876">
            <v>0.029303175847263545</v>
          </cell>
          <cell r="S876">
            <v>0.5318877851320399</v>
          </cell>
          <cell r="T876">
            <v>0.12742142857142857</v>
          </cell>
          <cell r="U876">
            <v>0.11505348214285714</v>
          </cell>
          <cell r="V876">
            <v>0.8036658716935892</v>
          </cell>
          <cell r="W876">
            <v>0.010435349313728292</v>
          </cell>
          <cell r="X876">
            <v>0.8869414871943762</v>
          </cell>
          <cell r="Y876">
            <v>0.14460441235288016</v>
          </cell>
          <cell r="Z876">
            <v>3.405603463609243</v>
          </cell>
        </row>
        <row r="877">
          <cell r="G877">
            <v>112021</v>
          </cell>
          <cell r="H877">
            <v>7.705063776161687</v>
          </cell>
          <cell r="I877">
            <v>0.07493415306346879</v>
          </cell>
          <cell r="J877">
            <v>0.6331824823799437</v>
          </cell>
          <cell r="K877">
            <v>0.12742142857142857</v>
          </cell>
          <cell r="L877">
            <v>0.11505348214285714</v>
          </cell>
          <cell r="M877">
            <v>0.9505915461576983</v>
          </cell>
          <cell r="O877">
            <v>0.4402727617816412</v>
          </cell>
          <cell r="P877">
            <v>0.31601770957943914</v>
          </cell>
          <cell r="Q877">
            <v>0.7562904713610803</v>
          </cell>
          <cell r="R877">
            <v>0.07493415306346879</v>
          </cell>
          <cell r="S877">
            <v>0.6331824823799437</v>
          </cell>
          <cell r="T877">
            <v>0.12742142857142857</v>
          </cell>
          <cell r="U877">
            <v>0.11505348214285714</v>
          </cell>
          <cell r="V877">
            <v>0.9505915461576983</v>
          </cell>
          <cell r="W877">
            <v>0.013004354859167672</v>
          </cell>
          <cell r="X877">
            <v>1.0471181671803733</v>
          </cell>
          <cell r="Y877">
            <v>0.15869996019164792</v>
          </cell>
          <cell r="Z877">
            <v>3.876296045907666</v>
          </cell>
        </row>
        <row r="878">
          <cell r="G878">
            <v>112031</v>
          </cell>
          <cell r="H878">
            <v>7.860229669054606</v>
          </cell>
          <cell r="I878">
            <v>0.08343461295312792</v>
          </cell>
          <cell r="J878">
            <v>0.6648265599646892</v>
          </cell>
          <cell r="K878">
            <v>0.12742142857142857</v>
          </cell>
          <cell r="L878">
            <v>0.11505348214285714</v>
          </cell>
          <cell r="M878">
            <v>0.9907360836321029</v>
          </cell>
          <cell r="N878">
            <v>0.5889788635977029</v>
          </cell>
          <cell r="O878">
            <v>0.4402727617816412</v>
          </cell>
          <cell r="P878">
            <v>0.31601770957943914</v>
          </cell>
          <cell r="Q878">
            <v>0.7562904713610803</v>
          </cell>
          <cell r="R878">
            <v>0.08343461295312792</v>
          </cell>
          <cell r="S878">
            <v>0.6648265599646892</v>
          </cell>
          <cell r="T878">
            <v>0.12742142857142857</v>
          </cell>
          <cell r="U878">
            <v>0.11505348214285714</v>
          </cell>
          <cell r="V878">
            <v>0.9907360836321029</v>
          </cell>
          <cell r="W878">
            <v>0.013266238782758543</v>
          </cell>
          <cell r="X878">
            <v>1.0088604780231585</v>
          </cell>
          <cell r="Y878">
            <v>0.155333283545813</v>
          </cell>
          <cell r="Z878">
            <v>3.915222638977016</v>
          </cell>
        </row>
        <row r="879">
          <cell r="G879">
            <v>112022</v>
          </cell>
          <cell r="H879">
            <v>7.378454229683783</v>
          </cell>
          <cell r="I879">
            <v>0.07493415306346879</v>
          </cell>
          <cell r="J879">
            <v>0.6331824823799437</v>
          </cell>
          <cell r="K879">
            <v>0.12742142857142857</v>
          </cell>
          <cell r="L879">
            <v>0.11505348214285714</v>
          </cell>
          <cell r="M879">
            <v>0.9505915461576983</v>
          </cell>
          <cell r="O879">
            <v>0.4402727617816412</v>
          </cell>
          <cell r="P879">
            <v>0.31601770957943914</v>
          </cell>
          <cell r="Q879">
            <v>0.7562904713610803</v>
          </cell>
          <cell r="R879">
            <v>0.07493415306346879</v>
          </cell>
          <cell r="S879">
            <v>0.6331824823799437</v>
          </cell>
          <cell r="T879">
            <v>0.12742142857142857</v>
          </cell>
          <cell r="U879">
            <v>0.11505348214285714</v>
          </cell>
          <cell r="V879">
            <v>0.9505915461576983</v>
          </cell>
          <cell r="W879">
            <v>0.012453113939406419</v>
          </cell>
          <cell r="X879">
            <v>1.0471181671803733</v>
          </cell>
          <cell r="Y879">
            <v>0.15869996019164792</v>
          </cell>
          <cell r="Z879">
            <v>3.875744804987905</v>
          </cell>
        </row>
        <row r="880">
          <cell r="G880">
            <v>112032</v>
          </cell>
          <cell r="H880">
            <v>7.471591920891564</v>
          </cell>
          <cell r="I880">
            <v>0.08343461295312792</v>
          </cell>
          <cell r="J880">
            <v>0.6648265599646892</v>
          </cell>
          <cell r="K880">
            <v>0.12742142857142857</v>
          </cell>
          <cell r="L880">
            <v>0.11505348214285714</v>
          </cell>
          <cell r="M880">
            <v>0.9907360836321029</v>
          </cell>
          <cell r="N880">
            <v>0.5889788635977029</v>
          </cell>
          <cell r="O880">
            <v>0.4402727617816412</v>
          </cell>
          <cell r="P880">
            <v>0.31601770957943914</v>
          </cell>
          <cell r="Q880">
            <v>0.7562904713610803</v>
          </cell>
          <cell r="R880">
            <v>0.08343461295312792</v>
          </cell>
          <cell r="S880">
            <v>0.6648265599646892</v>
          </cell>
          <cell r="T880">
            <v>0.12742142857142857</v>
          </cell>
          <cell r="U880">
            <v>0.11505348214285714</v>
          </cell>
          <cell r="V880">
            <v>0.9907360836321029</v>
          </cell>
          <cell r="W880">
            <v>0.012610308691119808</v>
          </cell>
          <cell r="X880">
            <v>1.0088604780231585</v>
          </cell>
          <cell r="Y880">
            <v>0.155333283545813</v>
          </cell>
          <cell r="Z880">
            <v>3.9145667088853777</v>
          </cell>
        </row>
        <row r="881">
          <cell r="G881">
            <v>213111</v>
          </cell>
          <cell r="H881">
            <v>19.15008909306396</v>
          </cell>
          <cell r="I881">
            <v>0.1078470825120197</v>
          </cell>
          <cell r="J881">
            <v>0.5901774233963388</v>
          </cell>
          <cell r="K881">
            <v>0.12742142857142857</v>
          </cell>
          <cell r="L881">
            <v>0.11505348214285714</v>
          </cell>
          <cell r="M881">
            <v>0.9404994166226442</v>
          </cell>
          <cell r="O881">
            <v>0.36689396815136766</v>
          </cell>
          <cell r="P881">
            <v>0.2148366871198362</v>
          </cell>
          <cell r="Q881">
            <v>0.5817306552712038</v>
          </cell>
          <cell r="R881">
            <v>0</v>
          </cell>
          <cell r="S881">
            <v>12.5</v>
          </cell>
          <cell r="T881">
            <v>0.17492857142857143</v>
          </cell>
          <cell r="U881">
            <v>0.03030902023562063</v>
          </cell>
          <cell r="V881">
            <v>12.705237591664192</v>
          </cell>
          <cell r="W881">
            <v>0.03232089459419606</v>
          </cell>
          <cell r="X881">
            <v>0.8869414871943762</v>
          </cell>
          <cell r="Y881">
            <v>0.12924314853697103</v>
          </cell>
          <cell r="Z881">
            <v>15.275973193883583</v>
          </cell>
        </row>
        <row r="882">
          <cell r="G882">
            <v>213121</v>
          </cell>
          <cell r="H882">
            <v>23.035437693307138</v>
          </cell>
          <cell r="I882">
            <v>0.13496856522911865</v>
          </cell>
          <cell r="J882">
            <v>0.6256184651356247</v>
          </cell>
          <cell r="K882">
            <v>0.12742142857142857</v>
          </cell>
          <cell r="L882">
            <v>0.11505348214285714</v>
          </cell>
          <cell r="M882">
            <v>1.003061941079029</v>
          </cell>
          <cell r="O882">
            <v>0.36689396815136766</v>
          </cell>
          <cell r="P882">
            <v>0.2148366871198362</v>
          </cell>
          <cell r="Q882">
            <v>0.5817306552712038</v>
          </cell>
          <cell r="R882">
            <v>0</v>
          </cell>
          <cell r="S882">
            <v>12.5</v>
          </cell>
          <cell r="T882">
            <v>0.17492857142857143</v>
          </cell>
          <cell r="U882">
            <v>0.03030902023562063</v>
          </cell>
          <cell r="V882">
            <v>12.705237591664192</v>
          </cell>
          <cell r="W882">
            <v>0.038878458998199306</v>
          </cell>
          <cell r="X882">
            <v>1.0471181671803733</v>
          </cell>
          <cell r="Y882">
            <v>0.1433386963757388</v>
          </cell>
          <cell r="Z882">
            <v>15.519365510568736</v>
          </cell>
        </row>
        <row r="883">
          <cell r="G883">
            <v>213131</v>
          </cell>
          <cell r="H883">
            <v>21.210475152949144</v>
          </cell>
          <cell r="I883">
            <v>0.11550046541917636</v>
          </cell>
          <cell r="J883">
            <v>0.6415033910924338</v>
          </cell>
          <cell r="K883">
            <v>0.12742142857142857</v>
          </cell>
          <cell r="L883">
            <v>0.11505348214285714</v>
          </cell>
          <cell r="M883">
            <v>0.9994787672258959</v>
          </cell>
          <cell r="N883">
            <v>0.5889788635977029</v>
          </cell>
          <cell r="O883">
            <v>0.36689396815136766</v>
          </cell>
          <cell r="P883">
            <v>0.2148366871198362</v>
          </cell>
          <cell r="Q883">
            <v>0.5817306552712038</v>
          </cell>
          <cell r="R883">
            <v>0</v>
          </cell>
          <cell r="S883">
            <v>12.5</v>
          </cell>
          <cell r="T883">
            <v>0.17492857142857143</v>
          </cell>
          <cell r="U883">
            <v>0.03030902023562063</v>
          </cell>
          <cell r="V883">
            <v>12.705237591664192</v>
          </cell>
          <cell r="W883">
            <v>0.035798346857800395</v>
          </cell>
          <cell r="X883">
            <v>1.0088604780231585</v>
          </cell>
          <cell r="Y883">
            <v>0.13997201972990386</v>
          </cell>
          <cell r="Z883">
            <v>15.471077858772155</v>
          </cell>
        </row>
        <row r="884">
          <cell r="G884">
            <v>213122</v>
          </cell>
          <cell r="H884">
            <v>24.458946594263264</v>
          </cell>
          <cell r="I884">
            <v>0.13496856522911865</v>
          </cell>
          <cell r="J884">
            <v>0.6256184651356247</v>
          </cell>
          <cell r="K884">
            <v>0.12742142857142857</v>
          </cell>
          <cell r="L884">
            <v>0.11505348214285714</v>
          </cell>
          <cell r="M884">
            <v>1.003061941079029</v>
          </cell>
          <cell r="O884">
            <v>0.36689396815136766</v>
          </cell>
          <cell r="P884">
            <v>0.2148366871198362</v>
          </cell>
          <cell r="Q884">
            <v>0.5817306552712038</v>
          </cell>
          <cell r="R884">
            <v>0</v>
          </cell>
          <cell r="S884">
            <v>12.5</v>
          </cell>
          <cell r="T884">
            <v>0.17492857142857143</v>
          </cell>
          <cell r="U884">
            <v>0.03030902023562063</v>
          </cell>
          <cell r="V884">
            <v>12.705237591664192</v>
          </cell>
          <cell r="W884">
            <v>0.0412810108045179</v>
          </cell>
          <cell r="X884">
            <v>1.0471181671803733</v>
          </cell>
          <cell r="Y884">
            <v>0.1433386963757388</v>
          </cell>
          <cell r="Z884">
            <v>15.521768062375056</v>
          </cell>
        </row>
        <row r="885">
          <cell r="G885">
            <v>213132</v>
          </cell>
          <cell r="H885">
            <v>22.894692988242124</v>
          </cell>
          <cell r="I885">
            <v>0.11550046541917636</v>
          </cell>
          <cell r="J885">
            <v>0.6415033910924338</v>
          </cell>
          <cell r="K885">
            <v>0.12742142857142857</v>
          </cell>
          <cell r="L885">
            <v>0.11505348214285714</v>
          </cell>
          <cell r="M885">
            <v>0.9994787672258959</v>
          </cell>
          <cell r="N885">
            <v>0.5889788635977029</v>
          </cell>
          <cell r="O885">
            <v>0.36689396815136766</v>
          </cell>
          <cell r="P885">
            <v>0.2148366871198362</v>
          </cell>
          <cell r="Q885">
            <v>0.5817306552712038</v>
          </cell>
          <cell r="R885">
            <v>0</v>
          </cell>
          <cell r="S885">
            <v>12.5</v>
          </cell>
          <cell r="T885">
            <v>0.17492857142857143</v>
          </cell>
          <cell r="U885">
            <v>0.03030902023562063</v>
          </cell>
          <cell r="V885">
            <v>12.705237591664192</v>
          </cell>
          <cell r="W885">
            <v>0.03864091468417597</v>
          </cell>
          <cell r="X885">
            <v>1.0088604780231585</v>
          </cell>
          <cell r="Y885">
            <v>0.13997201972990386</v>
          </cell>
          <cell r="Z885">
            <v>15.47392042659853</v>
          </cell>
        </row>
        <row r="886">
          <cell r="G886">
            <v>213211</v>
          </cell>
          <cell r="H886">
            <v>19.15008909306396</v>
          </cell>
          <cell r="I886">
            <v>0.1078470825120197</v>
          </cell>
          <cell r="J886">
            <v>0.5901774233963388</v>
          </cell>
          <cell r="K886">
            <v>0.12742142857142857</v>
          </cell>
          <cell r="L886">
            <v>0.11505348214285714</v>
          </cell>
          <cell r="M886">
            <v>0.9404994166226442</v>
          </cell>
          <cell r="O886">
            <v>0.36689396815136766</v>
          </cell>
          <cell r="P886">
            <v>0.2148366871198362</v>
          </cell>
          <cell r="Q886">
            <v>0.5817306552712038</v>
          </cell>
          <cell r="R886">
            <v>0</v>
          </cell>
          <cell r="S886">
            <v>12.5</v>
          </cell>
          <cell r="T886">
            <v>0.17492857142857143</v>
          </cell>
          <cell r="U886">
            <v>0.07261655025432086</v>
          </cell>
          <cell r="V886">
            <v>12.747545121682892</v>
          </cell>
          <cell r="W886">
            <v>0.03232089459419606</v>
          </cell>
          <cell r="X886">
            <v>0.8869414871943762</v>
          </cell>
          <cell r="Y886">
            <v>0.12924314853697103</v>
          </cell>
          <cell r="Z886">
            <v>15.318280723902284</v>
          </cell>
        </row>
        <row r="887">
          <cell r="G887">
            <v>213221</v>
          </cell>
          <cell r="H887">
            <v>23.035437693307138</v>
          </cell>
          <cell r="I887">
            <v>0.13496856522911865</v>
          </cell>
          <cell r="J887">
            <v>0.6256184651356247</v>
          </cell>
          <cell r="K887">
            <v>0.12742142857142857</v>
          </cell>
          <cell r="L887">
            <v>0.11505348214285714</v>
          </cell>
          <cell r="M887">
            <v>1.003061941079029</v>
          </cell>
          <cell r="O887">
            <v>0.36689396815136766</v>
          </cell>
          <cell r="P887">
            <v>0.2148366871198362</v>
          </cell>
          <cell r="Q887">
            <v>0.5817306552712038</v>
          </cell>
          <cell r="R887">
            <v>0</v>
          </cell>
          <cell r="S887">
            <v>12.5</v>
          </cell>
          <cell r="T887">
            <v>0.17492857142857143</v>
          </cell>
          <cell r="U887">
            <v>0.07261655025432086</v>
          </cell>
          <cell r="V887">
            <v>12.747545121682892</v>
          </cell>
          <cell r="W887">
            <v>0.038878458998199306</v>
          </cell>
          <cell r="X887">
            <v>1.0471181671803733</v>
          </cell>
          <cell r="Y887">
            <v>0.1433386963757388</v>
          </cell>
          <cell r="Z887">
            <v>15.561673040587436</v>
          </cell>
        </row>
        <row r="888">
          <cell r="G888">
            <v>213231</v>
          </cell>
          <cell r="H888">
            <v>21.210475152949144</v>
          </cell>
          <cell r="I888">
            <v>0.11550046541917636</v>
          </cell>
          <cell r="J888">
            <v>0.6415033910924338</v>
          </cell>
          <cell r="K888">
            <v>0.12742142857142857</v>
          </cell>
          <cell r="L888">
            <v>0.11505348214285714</v>
          </cell>
          <cell r="M888">
            <v>0.9994787672258959</v>
          </cell>
          <cell r="N888">
            <v>0.5889788635977029</v>
          </cell>
          <cell r="O888">
            <v>0.36689396815136766</v>
          </cell>
          <cell r="P888">
            <v>0.2148366871198362</v>
          </cell>
          <cell r="Q888">
            <v>0.5817306552712038</v>
          </cell>
          <cell r="R888">
            <v>0</v>
          </cell>
          <cell r="S888">
            <v>12.5</v>
          </cell>
          <cell r="T888">
            <v>0.17492857142857143</v>
          </cell>
          <cell r="U888">
            <v>0.07261655025432086</v>
          </cell>
          <cell r="V888">
            <v>12.747545121682892</v>
          </cell>
          <cell r="W888">
            <v>0.035798346857800395</v>
          </cell>
          <cell r="X888">
            <v>1.0088604780231585</v>
          </cell>
          <cell r="Y888">
            <v>0.13997201972990386</v>
          </cell>
          <cell r="Z888">
            <v>15.513385388790855</v>
          </cell>
        </row>
        <row r="889">
          <cell r="G889">
            <v>213222</v>
          </cell>
          <cell r="H889">
            <v>24.458946594263264</v>
          </cell>
          <cell r="I889">
            <v>0.13496856522911865</v>
          </cell>
          <cell r="J889">
            <v>0.6256184651356247</v>
          </cell>
          <cell r="K889">
            <v>0.12742142857142857</v>
          </cell>
          <cell r="L889">
            <v>0.11505348214285714</v>
          </cell>
          <cell r="M889">
            <v>1.003061941079029</v>
          </cell>
          <cell r="O889">
            <v>0.36689396815136766</v>
          </cell>
          <cell r="P889">
            <v>0.2148366871198362</v>
          </cell>
          <cell r="Q889">
            <v>0.5817306552712038</v>
          </cell>
          <cell r="R889">
            <v>0</v>
          </cell>
          <cell r="S889">
            <v>12.5</v>
          </cell>
          <cell r="T889">
            <v>0.17492857142857143</v>
          </cell>
          <cell r="U889">
            <v>0.07261655025432086</v>
          </cell>
          <cell r="V889">
            <v>12.747545121682892</v>
          </cell>
          <cell r="W889">
            <v>0.0412810108045179</v>
          </cell>
          <cell r="X889">
            <v>1.0471181671803733</v>
          </cell>
          <cell r="Y889">
            <v>0.1433386963757388</v>
          </cell>
          <cell r="Z889">
            <v>15.564075592393756</v>
          </cell>
        </row>
        <row r="890">
          <cell r="G890">
            <v>213232</v>
          </cell>
          <cell r="H890">
            <v>22.894692988242124</v>
          </cell>
          <cell r="I890">
            <v>0.11550046541917636</v>
          </cell>
          <cell r="J890">
            <v>0.6415033910924338</v>
          </cell>
          <cell r="K890">
            <v>0.12742142857142857</v>
          </cell>
          <cell r="L890">
            <v>0.11505348214285714</v>
          </cell>
          <cell r="M890">
            <v>0.9994787672258959</v>
          </cell>
          <cell r="N890">
            <v>0.5889788635977029</v>
          </cell>
          <cell r="O890">
            <v>0.36689396815136766</v>
          </cell>
          <cell r="P890">
            <v>0.2148366871198362</v>
          </cell>
          <cell r="Q890">
            <v>0.5817306552712038</v>
          </cell>
          <cell r="R890">
            <v>0</v>
          </cell>
          <cell r="S890">
            <v>12.5</v>
          </cell>
          <cell r="T890">
            <v>0.17492857142857143</v>
          </cell>
          <cell r="U890">
            <v>0.07261655025432086</v>
          </cell>
          <cell r="V890">
            <v>12.747545121682892</v>
          </cell>
          <cell r="W890">
            <v>0.03864091468417597</v>
          </cell>
          <cell r="X890">
            <v>1.0088604780231585</v>
          </cell>
          <cell r="Y890">
            <v>0.13997201972990386</v>
          </cell>
          <cell r="Z890">
            <v>15.51622795661723</v>
          </cell>
        </row>
        <row r="891">
          <cell r="G891">
            <v>213311</v>
          </cell>
          <cell r="H891">
            <v>22.34900607667218</v>
          </cell>
          <cell r="I891">
            <v>0.10674942484782249</v>
          </cell>
          <cell r="J891">
            <v>0.5870986453444257</v>
          </cell>
          <cell r="K891">
            <v>0.12742142857142857</v>
          </cell>
          <cell r="L891">
            <v>0.11505348214285714</v>
          </cell>
          <cell r="M891">
            <v>0.9363229809065339</v>
          </cell>
          <cell r="O891">
            <v>0.36689396815136766</v>
          </cell>
          <cell r="P891">
            <v>0.2148366871198362</v>
          </cell>
          <cell r="Q891">
            <v>0.5817306552712038</v>
          </cell>
          <cell r="R891">
            <v>0</v>
          </cell>
          <cell r="S891">
            <v>14.79</v>
          </cell>
          <cell r="T891">
            <v>0.2565</v>
          </cell>
          <cell r="U891">
            <v>0.20977188789824264</v>
          </cell>
          <cell r="V891">
            <v>15.256271887898242</v>
          </cell>
          <cell r="W891">
            <v>0.037719922146513436</v>
          </cell>
          <cell r="X891">
            <v>0.8869414871943762</v>
          </cell>
          <cell r="Y891">
            <v>0.12924314853697103</v>
          </cell>
          <cell r="Z891">
            <v>17.82823008195384</v>
          </cell>
        </row>
        <row r="892">
          <cell r="G892">
            <v>213321</v>
          </cell>
          <cell r="H892">
            <v>25.858219712991733</v>
          </cell>
          <cell r="I892">
            <v>0.13262088855414228</v>
          </cell>
          <cell r="J892">
            <v>0.624496850926299</v>
          </cell>
          <cell r="K892">
            <v>0.12742142857142857</v>
          </cell>
          <cell r="L892">
            <v>0.11505348214285714</v>
          </cell>
          <cell r="M892">
            <v>0.9995926501947271</v>
          </cell>
          <cell r="O892">
            <v>0.36689396815136766</v>
          </cell>
          <cell r="P892">
            <v>0.2148366871198362</v>
          </cell>
          <cell r="Q892">
            <v>0.5817306552712038</v>
          </cell>
          <cell r="R892">
            <v>0</v>
          </cell>
          <cell r="S892">
            <v>14.790000000000001</v>
          </cell>
          <cell r="T892">
            <v>0.2565</v>
          </cell>
          <cell r="U892">
            <v>0.20977188789824264</v>
          </cell>
          <cell r="V892">
            <v>15.256271887898244</v>
          </cell>
          <cell r="W892">
            <v>0.04364265824955748</v>
          </cell>
          <cell r="X892">
            <v>1.0471181671803733</v>
          </cell>
          <cell r="Y892">
            <v>0.1433386963757388</v>
          </cell>
          <cell r="Z892">
            <v>18.07169471516984</v>
          </cell>
        </row>
        <row r="893">
          <cell r="G893">
            <v>213331</v>
          </cell>
          <cell r="H893">
            <v>24.210475152949144</v>
          </cell>
          <cell r="I893">
            <v>0.11550046541917636</v>
          </cell>
          <cell r="J893">
            <v>0.6415033910924338</v>
          </cell>
          <cell r="K893">
            <v>0.12742142857142857</v>
          </cell>
          <cell r="L893">
            <v>0.11505348214285714</v>
          </cell>
          <cell r="M893">
            <v>0.9994787672258959</v>
          </cell>
          <cell r="N893">
            <v>0.5889788635977029</v>
          </cell>
          <cell r="O893">
            <v>0.36689396815136766</v>
          </cell>
          <cell r="P893">
            <v>0.2148366871198362</v>
          </cell>
          <cell r="Q893">
            <v>0.5817306552712038</v>
          </cell>
          <cell r="R893">
            <v>0</v>
          </cell>
          <cell r="S893">
            <v>14.79</v>
          </cell>
          <cell r="T893">
            <v>0.2565</v>
          </cell>
          <cell r="U893">
            <v>0.20977188789824264</v>
          </cell>
          <cell r="V893">
            <v>15.256271887898242</v>
          </cell>
          <cell r="W893">
            <v>0.04086164882529398</v>
          </cell>
          <cell r="X893">
            <v>1.0088604780231585</v>
          </cell>
          <cell r="Y893">
            <v>0.13997201972990386</v>
          </cell>
          <cell r="Z893">
            <v>18.027175456973698</v>
          </cell>
        </row>
        <row r="894">
          <cell r="G894">
            <v>213322</v>
          </cell>
          <cell r="H894">
            <v>29.168454561934354</v>
          </cell>
          <cell r="I894">
            <v>0.13262088855414228</v>
          </cell>
          <cell r="J894">
            <v>0.624496850926299</v>
          </cell>
          <cell r="K894">
            <v>0.12742142857142857</v>
          </cell>
          <cell r="L894">
            <v>0.11505348214285714</v>
          </cell>
          <cell r="M894">
            <v>0.9995926501947271</v>
          </cell>
          <cell r="O894">
            <v>0.36689396815136766</v>
          </cell>
          <cell r="P894">
            <v>0.2148366871198362</v>
          </cell>
          <cell r="Q894">
            <v>0.5817306552712038</v>
          </cell>
          <cell r="R894">
            <v>0</v>
          </cell>
          <cell r="S894">
            <v>14.790000000000001</v>
          </cell>
          <cell r="T894">
            <v>0.2565</v>
          </cell>
          <cell r="U894">
            <v>0.20977188789824264</v>
          </cell>
          <cell r="V894">
            <v>15.256271887898244</v>
          </cell>
          <cell r="W894">
            <v>0.04922956445739648</v>
          </cell>
          <cell r="X894">
            <v>1.0471181671803733</v>
          </cell>
          <cell r="Y894">
            <v>0.1433386963757388</v>
          </cell>
          <cell r="Z894">
            <v>18.07728162137768</v>
          </cell>
        </row>
        <row r="895">
          <cell r="G895">
            <v>213332</v>
          </cell>
          <cell r="H895">
            <v>27.473631585890548</v>
          </cell>
          <cell r="I895">
            <v>0.11550046541917636</v>
          </cell>
          <cell r="J895">
            <v>0.6415033910924338</v>
          </cell>
          <cell r="K895">
            <v>0.12742142857142857</v>
          </cell>
          <cell r="L895">
            <v>0.11505348214285714</v>
          </cell>
          <cell r="M895">
            <v>0.9994787672258959</v>
          </cell>
          <cell r="N895">
            <v>0.5889788635977029</v>
          </cell>
          <cell r="O895">
            <v>0.36689396815136766</v>
          </cell>
          <cell r="P895">
            <v>0.2148366871198362</v>
          </cell>
          <cell r="Q895">
            <v>0.5817306552712038</v>
          </cell>
          <cell r="R895">
            <v>0</v>
          </cell>
          <cell r="S895">
            <v>14.79</v>
          </cell>
          <cell r="T895">
            <v>0.2565</v>
          </cell>
          <cell r="U895">
            <v>0.20977188789824264</v>
          </cell>
          <cell r="V895">
            <v>15.256271887898242</v>
          </cell>
          <cell r="W895">
            <v>0.046369097621011164</v>
          </cell>
          <cell r="X895">
            <v>1.0088604780231585</v>
          </cell>
          <cell r="Y895">
            <v>0.13997201972990386</v>
          </cell>
          <cell r="Z895">
            <v>18.032682905769413</v>
          </cell>
        </row>
        <row r="896">
          <cell r="G896">
            <v>214411</v>
          </cell>
          <cell r="H896">
            <v>32.953439193388654</v>
          </cell>
          <cell r="I896">
            <v>0.04620791214036711</v>
          </cell>
          <cell r="J896">
            <v>0.5038714213278299</v>
          </cell>
          <cell r="K896">
            <v>0.12742142857142857</v>
          </cell>
          <cell r="L896">
            <v>0.11505348214285714</v>
          </cell>
          <cell r="M896">
            <v>0.7925542441824828</v>
          </cell>
          <cell r="O896">
            <v>0.2201363808908206</v>
          </cell>
          <cell r="P896">
            <v>5.510318677059164</v>
          </cell>
          <cell r="Q896">
            <v>5.730455057949984</v>
          </cell>
          <cell r="R896">
            <v>0</v>
          </cell>
          <cell r="S896">
            <v>20.56</v>
          </cell>
          <cell r="T896">
            <v>0.12742142857142857</v>
          </cell>
          <cell r="U896">
            <v>0.11505348214285714</v>
          </cell>
          <cell r="V896">
            <v>20.802474910714285</v>
          </cell>
          <cell r="W896">
            <v>0.055617737834521654</v>
          </cell>
          <cell r="X896">
            <v>0.8869414871943762</v>
          </cell>
          <cell r="Y896">
            <v>0.09742285239149731</v>
          </cell>
          <cell r="Z896">
            <v>28.365466290267147</v>
          </cell>
        </row>
        <row r="897">
          <cell r="G897">
            <v>214421</v>
          </cell>
          <cell r="H897">
            <v>42.81075469001813</v>
          </cell>
          <cell r="I897">
            <v>0.08117157111937748</v>
          </cell>
          <cell r="J897">
            <v>0.5786421663666775</v>
          </cell>
          <cell r="K897">
            <v>0.12742142857142857</v>
          </cell>
          <cell r="L897">
            <v>0.11505348214285714</v>
          </cell>
          <cell r="M897">
            <v>0.9022886482003407</v>
          </cell>
          <cell r="O897">
            <v>0.2201363808908206</v>
          </cell>
          <cell r="P897">
            <v>6.455416300085756</v>
          </cell>
          <cell r="Q897">
            <v>6.675552680976576</v>
          </cell>
          <cell r="R897">
            <v>0</v>
          </cell>
          <cell r="S897">
            <v>20.56</v>
          </cell>
          <cell r="T897">
            <v>0.12742142857142857</v>
          </cell>
          <cell r="U897">
            <v>0.11505348214285714</v>
          </cell>
          <cell r="V897">
            <v>20.802474910714285</v>
          </cell>
          <cell r="W897">
            <v>0.07225459281728466</v>
          </cell>
          <cell r="X897">
            <v>1.0471181671803733</v>
          </cell>
          <cell r="Y897">
            <v>0.11151840023026505</v>
          </cell>
          <cell r="Z897">
            <v>29.611207400119124</v>
          </cell>
        </row>
        <row r="898">
          <cell r="G898">
            <v>214431</v>
          </cell>
          <cell r="H898">
            <v>42.81075469001813</v>
          </cell>
          <cell r="I898">
            <v>0.08117157111937748</v>
          </cell>
          <cell r="J898">
            <v>0.5786421663666775</v>
          </cell>
          <cell r="K898">
            <v>0.12742142857142857</v>
          </cell>
          <cell r="L898">
            <v>0.11505348214285714</v>
          </cell>
          <cell r="M898">
            <v>0.9022886482003407</v>
          </cell>
          <cell r="N898">
            <v>0.5889788635977029</v>
          </cell>
          <cell r="O898">
            <v>0.2201363808908206</v>
          </cell>
          <cell r="P898">
            <v>6.455416300085756</v>
          </cell>
          <cell r="Q898">
            <v>6.675552680976576</v>
          </cell>
          <cell r="R898">
            <v>0</v>
          </cell>
          <cell r="S898">
            <v>20.56</v>
          </cell>
          <cell r="T898">
            <v>0.12742142857142857</v>
          </cell>
          <cell r="U898">
            <v>0.11505348214285714</v>
          </cell>
          <cell r="V898">
            <v>20.802474910714285</v>
          </cell>
          <cell r="W898">
            <v>0.07225459281728466</v>
          </cell>
          <cell r="X898">
            <v>1.0088604780231585</v>
          </cell>
          <cell r="Y898">
            <v>0.10815172358443015</v>
          </cell>
          <cell r="Z898">
            <v>29.56958303431608</v>
          </cell>
        </row>
        <row r="899">
          <cell r="G899">
            <v>214511</v>
          </cell>
          <cell r="H899">
            <v>32.953439193388654</v>
          </cell>
          <cell r="I899">
            <v>0.04620791214036711</v>
          </cell>
          <cell r="J899">
            <v>0.5038714213278299</v>
          </cell>
          <cell r="K899">
            <v>0.12742142857142857</v>
          </cell>
          <cell r="L899">
            <v>0.11505348214285714</v>
          </cell>
          <cell r="M899">
            <v>0.7925542441824828</v>
          </cell>
          <cell r="O899">
            <v>0.2201363808908206</v>
          </cell>
          <cell r="P899">
            <v>5.510318677059164</v>
          </cell>
          <cell r="Q899">
            <v>5.730455057949984</v>
          </cell>
          <cell r="R899">
            <v>0</v>
          </cell>
          <cell r="S899">
            <v>21.50779220779221</v>
          </cell>
          <cell r="T899">
            <v>0.12742142857142857</v>
          </cell>
          <cell r="U899">
            <v>0.11505348214285714</v>
          </cell>
          <cell r="V899">
            <v>21.750267118506496</v>
          </cell>
          <cell r="W899">
            <v>0.055617737834521654</v>
          </cell>
          <cell r="X899">
            <v>0.8869414871943762</v>
          </cell>
          <cell r="Y899">
            <v>0.09742285239149731</v>
          </cell>
          <cell r="Z899">
            <v>29.31325849805936</v>
          </cell>
        </row>
        <row r="900">
          <cell r="G900">
            <v>214521</v>
          </cell>
          <cell r="H900">
            <v>42.81075469001813</v>
          </cell>
          <cell r="I900">
            <v>0.08117157111937748</v>
          </cell>
          <cell r="J900">
            <v>0.5786421663666775</v>
          </cell>
          <cell r="K900">
            <v>0.12742142857142857</v>
          </cell>
          <cell r="L900">
            <v>0.11505348214285714</v>
          </cell>
          <cell r="M900">
            <v>0.9022886482003407</v>
          </cell>
          <cell r="O900">
            <v>0.2201363808908206</v>
          </cell>
          <cell r="P900">
            <v>6.455416300085756</v>
          </cell>
          <cell r="Q900">
            <v>6.675552680976576</v>
          </cell>
          <cell r="R900">
            <v>0</v>
          </cell>
          <cell r="S900">
            <v>22.60739299610895</v>
          </cell>
          <cell r="T900">
            <v>0.12742142857142857</v>
          </cell>
          <cell r="U900">
            <v>0.11505348214285714</v>
          </cell>
          <cell r="V900">
            <v>22.849867906823235</v>
          </cell>
          <cell r="W900">
            <v>0.07225459281728466</v>
          </cell>
          <cell r="X900">
            <v>1.0471181671803733</v>
          </cell>
          <cell r="Y900">
            <v>0.11151840023026505</v>
          </cell>
          <cell r="Z900">
            <v>31.65860039622807</v>
          </cell>
        </row>
        <row r="901">
          <cell r="G901">
            <v>214531</v>
          </cell>
          <cell r="H901">
            <v>42.81075469001813</v>
          </cell>
          <cell r="I901">
            <v>0.08117157111937748</v>
          </cell>
          <cell r="J901">
            <v>0.5786421663666775</v>
          </cell>
          <cell r="K901">
            <v>0.12742142857142857</v>
          </cell>
          <cell r="L901">
            <v>0.11505348214285714</v>
          </cell>
          <cell r="M901">
            <v>0.9022886482003407</v>
          </cell>
          <cell r="N901">
            <v>0.5889788635977029</v>
          </cell>
          <cell r="O901">
            <v>0.2201363808908206</v>
          </cell>
          <cell r="P901">
            <v>6.455416300085756</v>
          </cell>
          <cell r="Q901">
            <v>6.675552680976576</v>
          </cell>
          <cell r="R901">
            <v>0</v>
          </cell>
          <cell r="S901">
            <v>22.60739299610895</v>
          </cell>
          <cell r="T901">
            <v>0.12742142857142857</v>
          </cell>
          <cell r="U901">
            <v>0.11505348214285714</v>
          </cell>
          <cell r="V901">
            <v>22.849867906823235</v>
          </cell>
          <cell r="W901">
            <v>0.07225459281728466</v>
          </cell>
          <cell r="X901">
            <v>1.0088604780231585</v>
          </cell>
          <cell r="Y901">
            <v>0.10815172358443015</v>
          </cell>
          <cell r="Z901">
            <v>31.616976030425025</v>
          </cell>
        </row>
        <row r="902">
          <cell r="G902">
            <v>215411</v>
          </cell>
          <cell r="H902">
            <v>32.953439193388654</v>
          </cell>
          <cell r="I902">
            <v>0.04620791214036711</v>
          </cell>
          <cell r="J902">
            <v>0.5038714213278299</v>
          </cell>
          <cell r="K902">
            <v>0.12742142857142857</v>
          </cell>
          <cell r="L902">
            <v>0.11505348214285714</v>
          </cell>
          <cell r="M902">
            <v>0.7925542441824828</v>
          </cell>
          <cell r="O902">
            <v>0.2201363808908206</v>
          </cell>
          <cell r="P902">
            <v>5.510318677059164</v>
          </cell>
          <cell r="Q902">
            <v>5.730455057949984</v>
          </cell>
          <cell r="R902">
            <v>0</v>
          </cell>
          <cell r="S902">
            <v>20.56</v>
          </cell>
          <cell r="T902">
            <v>0.12742142857142857</v>
          </cell>
          <cell r="U902">
            <v>0.11505348214285714</v>
          </cell>
          <cell r="V902">
            <v>20.802474910714285</v>
          </cell>
          <cell r="W902">
            <v>0.055617737834521654</v>
          </cell>
          <cell r="X902">
            <v>0.8869414871943762</v>
          </cell>
          <cell r="Y902">
            <v>0.09742285239149731</v>
          </cell>
          <cell r="Z902">
            <v>28.365466290267147</v>
          </cell>
        </row>
        <row r="903">
          <cell r="G903">
            <v>215421</v>
          </cell>
          <cell r="H903">
            <v>42.81075469001813</v>
          </cell>
          <cell r="I903">
            <v>0.08117157111937748</v>
          </cell>
          <cell r="J903">
            <v>0.5786421663666775</v>
          </cell>
          <cell r="K903">
            <v>0.12742142857142857</v>
          </cell>
          <cell r="L903">
            <v>0.11505348214285714</v>
          </cell>
          <cell r="M903">
            <v>0.9022886482003407</v>
          </cell>
          <cell r="O903">
            <v>0.2201363808908206</v>
          </cell>
          <cell r="P903">
            <v>6.455416300085756</v>
          </cell>
          <cell r="Q903">
            <v>6.675552680976576</v>
          </cell>
          <cell r="R903">
            <v>0</v>
          </cell>
          <cell r="S903">
            <v>20.56</v>
          </cell>
          <cell r="T903">
            <v>0.12742142857142857</v>
          </cell>
          <cell r="U903">
            <v>0.11505348214285714</v>
          </cell>
          <cell r="V903">
            <v>20.802474910714285</v>
          </cell>
          <cell r="W903">
            <v>0.07225459281728466</v>
          </cell>
          <cell r="X903">
            <v>1.0471181671803733</v>
          </cell>
          <cell r="Y903">
            <v>0.11151840023026505</v>
          </cell>
          <cell r="Z903">
            <v>29.611207400119124</v>
          </cell>
        </row>
        <row r="904">
          <cell r="G904">
            <v>215431</v>
          </cell>
          <cell r="H904">
            <v>42.81075469001813</v>
          </cell>
          <cell r="I904">
            <v>0.08117157111937748</v>
          </cell>
          <cell r="J904">
            <v>0.5786421663666775</v>
          </cell>
          <cell r="K904">
            <v>0.12742142857142857</v>
          </cell>
          <cell r="L904">
            <v>0.11505348214285714</v>
          </cell>
          <cell r="M904">
            <v>0.9022886482003407</v>
          </cell>
          <cell r="N904">
            <v>0.5889788635977029</v>
          </cell>
          <cell r="O904">
            <v>0.2201363808908206</v>
          </cell>
          <cell r="P904">
            <v>6.455416300085756</v>
          </cell>
          <cell r="Q904">
            <v>6.675552680976576</v>
          </cell>
          <cell r="R904">
            <v>0</v>
          </cell>
          <cell r="S904">
            <v>20.56</v>
          </cell>
          <cell r="T904">
            <v>0.12742142857142857</v>
          </cell>
          <cell r="U904">
            <v>0.11505348214285714</v>
          </cell>
          <cell r="V904">
            <v>20.802474910714285</v>
          </cell>
          <cell r="W904">
            <v>0.07225459281728466</v>
          </cell>
          <cell r="X904">
            <v>1.0088604780231585</v>
          </cell>
          <cell r="Y904">
            <v>0.10815172358443015</v>
          </cell>
          <cell r="Z904">
            <v>29.56958303431608</v>
          </cell>
        </row>
        <row r="905">
          <cell r="G905">
            <v>215511</v>
          </cell>
          <cell r="H905">
            <v>32.953439193388654</v>
          </cell>
          <cell r="I905">
            <v>0.04620791214036711</v>
          </cell>
          <cell r="J905">
            <v>0.5038714213278299</v>
          </cell>
          <cell r="K905">
            <v>0.12742142857142857</v>
          </cell>
          <cell r="L905">
            <v>0.11505348214285714</v>
          </cell>
          <cell r="M905">
            <v>0.7925542441824828</v>
          </cell>
          <cell r="O905">
            <v>0.2201363808908206</v>
          </cell>
          <cell r="P905">
            <v>5.510318677059164</v>
          </cell>
          <cell r="Q905">
            <v>5.730455057949984</v>
          </cell>
          <cell r="R905">
            <v>0</v>
          </cell>
          <cell r="S905">
            <v>21.50779220779221</v>
          </cell>
          <cell r="T905">
            <v>0.12742142857142857</v>
          </cell>
          <cell r="U905">
            <v>0.11505348214285714</v>
          </cell>
          <cell r="V905">
            <v>21.750267118506496</v>
          </cell>
          <cell r="W905">
            <v>0.055617737834521654</v>
          </cell>
          <cell r="X905">
            <v>0.8869414871943762</v>
          </cell>
          <cell r="Y905">
            <v>0.09742285239149731</v>
          </cell>
          <cell r="Z905">
            <v>29.31325849805936</v>
          </cell>
        </row>
        <row r="906">
          <cell r="G906">
            <v>215521</v>
          </cell>
          <cell r="H906">
            <v>42.81075469001813</v>
          </cell>
          <cell r="I906">
            <v>0.08117157111937748</v>
          </cell>
          <cell r="J906">
            <v>0.5786421663666775</v>
          </cell>
          <cell r="K906">
            <v>0.12742142857142857</v>
          </cell>
          <cell r="L906">
            <v>0.11505348214285714</v>
          </cell>
          <cell r="M906">
            <v>0.9022886482003407</v>
          </cell>
          <cell r="O906">
            <v>0.2201363808908206</v>
          </cell>
          <cell r="P906">
            <v>6.455416300085756</v>
          </cell>
          <cell r="Q906">
            <v>6.675552680976576</v>
          </cell>
          <cell r="R906">
            <v>0</v>
          </cell>
          <cell r="S906">
            <v>22.60739299610895</v>
          </cell>
          <cell r="T906">
            <v>0.12742142857142857</v>
          </cell>
          <cell r="U906">
            <v>0.11505348214285714</v>
          </cell>
          <cell r="V906">
            <v>22.849867906823235</v>
          </cell>
          <cell r="W906">
            <v>0.07225459281728466</v>
          </cell>
          <cell r="X906">
            <v>1.0471181671803733</v>
          </cell>
          <cell r="Y906">
            <v>0.11151840023026505</v>
          </cell>
          <cell r="Z906">
            <v>31.65860039622807</v>
          </cell>
        </row>
        <row r="907">
          <cell r="G907">
            <v>215531</v>
          </cell>
          <cell r="H907">
            <v>42.81075469001813</v>
          </cell>
          <cell r="I907">
            <v>0.08117157111937748</v>
          </cell>
          <cell r="J907">
            <v>0.5786421663666775</v>
          </cell>
          <cell r="K907">
            <v>0.12742142857142857</v>
          </cell>
          <cell r="L907">
            <v>0.11505348214285714</v>
          </cell>
          <cell r="M907">
            <v>0.9022886482003407</v>
          </cell>
          <cell r="N907">
            <v>0.5889788635977029</v>
          </cell>
          <cell r="O907">
            <v>0.2201363808908206</v>
          </cell>
          <cell r="P907">
            <v>6.455416300085756</v>
          </cell>
          <cell r="Q907">
            <v>6.675552680976576</v>
          </cell>
          <cell r="R907">
            <v>0</v>
          </cell>
          <cell r="S907">
            <v>22.60739299610895</v>
          </cell>
          <cell r="T907">
            <v>0.12742142857142857</v>
          </cell>
          <cell r="U907">
            <v>0.11505348214285714</v>
          </cell>
          <cell r="V907">
            <v>22.849867906823235</v>
          </cell>
          <cell r="W907">
            <v>0.07225459281728466</v>
          </cell>
          <cell r="X907">
            <v>1.0088604780231585</v>
          </cell>
          <cell r="Y907">
            <v>0.10815172358443015</v>
          </cell>
          <cell r="Z907">
            <v>31.616976030425025</v>
          </cell>
        </row>
        <row r="908">
          <cell r="G908">
            <v>215611</v>
          </cell>
          <cell r="H908">
            <v>32.953439193388654</v>
          </cell>
          <cell r="I908">
            <v>0.04620791214036711</v>
          </cell>
          <cell r="J908">
            <v>0.5038714213278299</v>
          </cell>
          <cell r="K908">
            <v>0.12742142857142857</v>
          </cell>
          <cell r="L908">
            <v>0.11505348214285714</v>
          </cell>
          <cell r="M908">
            <v>0.7925542441824828</v>
          </cell>
          <cell r="O908">
            <v>0.2201363808908206</v>
          </cell>
          <cell r="P908">
            <v>5.308318677059164</v>
          </cell>
          <cell r="Q908">
            <v>5.5284550579499845</v>
          </cell>
          <cell r="R908">
            <v>0</v>
          </cell>
          <cell r="S908">
            <v>31.594805194805193</v>
          </cell>
          <cell r="T908">
            <v>0.12742142857142857</v>
          </cell>
          <cell r="U908">
            <v>0.11505348214285714</v>
          </cell>
          <cell r="V908">
            <v>31.83728010551948</v>
          </cell>
          <cell r="W908">
            <v>0.055617737834521654</v>
          </cell>
          <cell r="X908">
            <v>0.8869414871943762</v>
          </cell>
          <cell r="Y908">
            <v>0.09742285239149731</v>
          </cell>
          <cell r="Z908">
            <v>39.19827148507234</v>
          </cell>
        </row>
        <row r="909">
          <cell r="G909">
            <v>215621</v>
          </cell>
          <cell r="H909">
            <v>42.81075469001813</v>
          </cell>
          <cell r="I909">
            <v>0.08117157111937748</v>
          </cell>
          <cell r="J909">
            <v>0.5786421663666775</v>
          </cell>
          <cell r="K909">
            <v>0.12742142857142857</v>
          </cell>
          <cell r="L909">
            <v>0.11505348214285714</v>
          </cell>
          <cell r="M909">
            <v>0.9022886482003407</v>
          </cell>
          <cell r="O909">
            <v>0.2201363808908206</v>
          </cell>
          <cell r="P909">
            <v>6.253416300085755</v>
          </cell>
          <cell r="Q909">
            <v>6.473552680976575</v>
          </cell>
          <cell r="R909">
            <v>0</v>
          </cell>
          <cell r="S909">
            <v>21.93</v>
          </cell>
          <cell r="T909">
            <v>0.12742142857142857</v>
          </cell>
          <cell r="U909">
            <v>0.11505348214285714</v>
          </cell>
          <cell r="V909">
            <v>22.172474910714286</v>
          </cell>
          <cell r="W909">
            <v>0.07225459281728466</v>
          </cell>
          <cell r="X909">
            <v>1.0471181671803733</v>
          </cell>
          <cell r="Y909">
            <v>0.11151840023026505</v>
          </cell>
          <cell r="Z909">
            <v>30.779207400119123</v>
          </cell>
        </row>
        <row r="910">
          <cell r="G910">
            <v>215631</v>
          </cell>
          <cell r="H910">
            <v>42.81075469001813</v>
          </cell>
          <cell r="I910">
            <v>0.08117157111937748</v>
          </cell>
          <cell r="J910">
            <v>0.5786421663666775</v>
          </cell>
          <cell r="K910">
            <v>0.12742142857142857</v>
          </cell>
          <cell r="L910">
            <v>0.11505348214285714</v>
          </cell>
          <cell r="M910">
            <v>0.9022886482003407</v>
          </cell>
          <cell r="N910">
            <v>0.5889788635977029</v>
          </cell>
          <cell r="O910">
            <v>0.2201363808908206</v>
          </cell>
          <cell r="P910">
            <v>6.253416300085755</v>
          </cell>
          <cell r="Q910">
            <v>6.473552680976575</v>
          </cell>
          <cell r="R910">
            <v>0</v>
          </cell>
          <cell r="S910">
            <v>34.182101167315174</v>
          </cell>
          <cell r="T910">
            <v>0.12742142857142857</v>
          </cell>
          <cell r="U910">
            <v>0.11505348214285714</v>
          </cell>
          <cell r="V910">
            <v>34.42457607802946</v>
          </cell>
          <cell r="W910">
            <v>0.07225459281728466</v>
          </cell>
          <cell r="X910">
            <v>1.0088604780231585</v>
          </cell>
          <cell r="Y910">
            <v>0.10815172358443015</v>
          </cell>
          <cell r="Z910">
            <v>42.98968420163125</v>
          </cell>
        </row>
        <row r="911">
          <cell r="G911">
            <v>215711</v>
          </cell>
          <cell r="H911">
            <v>32.953439193388654</v>
          </cell>
          <cell r="I911">
            <v>0.04620791214036711</v>
          </cell>
          <cell r="J911">
            <v>0.5038714213278299</v>
          </cell>
          <cell r="K911">
            <v>0.12742142857142857</v>
          </cell>
          <cell r="L911">
            <v>0.11505348214285714</v>
          </cell>
          <cell r="M911">
            <v>0.7925542441824828</v>
          </cell>
          <cell r="O911">
            <v>0.2201363808908206</v>
          </cell>
          <cell r="P911">
            <v>5.308318677059164</v>
          </cell>
          <cell r="Q911">
            <v>5.5284550579499845</v>
          </cell>
          <cell r="R911">
            <v>0</v>
          </cell>
          <cell r="S911">
            <v>21.93</v>
          </cell>
          <cell r="T911">
            <v>0.12742142857142857</v>
          </cell>
          <cell r="U911">
            <v>0.11505348214285714</v>
          </cell>
          <cell r="V911">
            <v>22.172474910714286</v>
          </cell>
          <cell r="W911">
            <v>0.055617737834521654</v>
          </cell>
          <cell r="X911">
            <v>0.8869414871943762</v>
          </cell>
          <cell r="Y911">
            <v>0.09742285239149731</v>
          </cell>
          <cell r="Z911">
            <v>29.53346629026715</v>
          </cell>
        </row>
        <row r="912">
          <cell r="G912">
            <v>215721</v>
          </cell>
          <cell r="H912">
            <v>42.81075469001813</v>
          </cell>
          <cell r="I912">
            <v>0.08117157111937748</v>
          </cell>
          <cell r="J912">
            <v>0.5786421663666775</v>
          </cell>
          <cell r="K912">
            <v>0.12742142857142857</v>
          </cell>
          <cell r="L912">
            <v>0.11505348214285714</v>
          </cell>
          <cell r="M912">
            <v>0.9022886482003407</v>
          </cell>
          <cell r="O912">
            <v>0.2201363808908206</v>
          </cell>
          <cell r="P912">
            <v>6.253416300085755</v>
          </cell>
          <cell r="Q912">
            <v>6.473552680976575</v>
          </cell>
          <cell r="R912">
            <v>0</v>
          </cell>
          <cell r="S912">
            <v>34.182101167315174</v>
          </cell>
          <cell r="T912">
            <v>0.12742142857142857</v>
          </cell>
          <cell r="U912">
            <v>0.11505348214285714</v>
          </cell>
          <cell r="V912">
            <v>34.42457607802946</v>
          </cell>
          <cell r="W912">
            <v>0.07225459281728466</v>
          </cell>
          <cell r="X912">
            <v>1.0471181671803733</v>
          </cell>
          <cell r="Y912">
            <v>0.11151840023026505</v>
          </cell>
          <cell r="Z912">
            <v>43.0313085674343</v>
          </cell>
        </row>
        <row r="913">
          <cell r="G913">
            <v>215731</v>
          </cell>
          <cell r="H913">
            <v>42.81075469001813</v>
          </cell>
          <cell r="I913">
            <v>0.08117157111937748</v>
          </cell>
          <cell r="J913">
            <v>0.5786421663666775</v>
          </cell>
          <cell r="K913">
            <v>0.12742142857142857</v>
          </cell>
          <cell r="L913">
            <v>0.11505348214285714</v>
          </cell>
          <cell r="M913">
            <v>0.9022886482003407</v>
          </cell>
          <cell r="N913">
            <v>0.5889788635977029</v>
          </cell>
          <cell r="O913">
            <v>0.2201363808908206</v>
          </cell>
          <cell r="P913">
            <v>6.253416300085755</v>
          </cell>
          <cell r="Q913">
            <v>6.473552680976575</v>
          </cell>
          <cell r="R913">
            <v>0</v>
          </cell>
          <cell r="S913">
            <v>21.93</v>
          </cell>
          <cell r="T913">
            <v>0.12742142857142857</v>
          </cell>
          <cell r="U913">
            <v>0.11505348214285714</v>
          </cell>
          <cell r="V913">
            <v>22.172474910714286</v>
          </cell>
          <cell r="W913">
            <v>0.07225459281728466</v>
          </cell>
          <cell r="X913">
            <v>1.0088604780231585</v>
          </cell>
          <cell r="Y913">
            <v>0.10815172358443015</v>
          </cell>
          <cell r="Z913">
            <v>30.737583034316078</v>
          </cell>
        </row>
        <row r="914">
          <cell r="G914">
            <v>216411</v>
          </cell>
          <cell r="H914">
            <v>32.953439193388654</v>
          </cell>
          <cell r="I914">
            <v>0.04620791214036711</v>
          </cell>
          <cell r="J914">
            <v>0.5038714213278299</v>
          </cell>
          <cell r="K914">
            <v>0.12742142857142857</v>
          </cell>
          <cell r="L914">
            <v>0.11505348214285714</v>
          </cell>
          <cell r="M914">
            <v>0.7925542441824828</v>
          </cell>
          <cell r="O914">
            <v>0.2201363808908206</v>
          </cell>
          <cell r="P914">
            <v>5.510318677059164</v>
          </cell>
          <cell r="Q914">
            <v>5.730455057949984</v>
          </cell>
          <cell r="R914">
            <v>0</v>
          </cell>
          <cell r="S914">
            <v>20.56</v>
          </cell>
          <cell r="T914">
            <v>0.12742142857142857</v>
          </cell>
          <cell r="U914">
            <v>0.11505348214285714</v>
          </cell>
          <cell r="V914">
            <v>20.802474910714285</v>
          </cell>
          <cell r="W914">
            <v>0.055617737834521654</v>
          </cell>
          <cell r="X914">
            <v>0.8869414871943762</v>
          </cell>
          <cell r="Y914">
            <v>0.09742285239149731</v>
          </cell>
          <cell r="Z914">
            <v>28.365466290267147</v>
          </cell>
        </row>
        <row r="915">
          <cell r="G915">
            <v>216421</v>
          </cell>
          <cell r="H915">
            <v>42.81075469001813</v>
          </cell>
          <cell r="I915">
            <v>0.08117157111937748</v>
          </cell>
          <cell r="J915">
            <v>0.5786421663666775</v>
          </cell>
          <cell r="K915">
            <v>0.12742142857142857</v>
          </cell>
          <cell r="L915">
            <v>0.11505348214285714</v>
          </cell>
          <cell r="M915">
            <v>0.9022886482003407</v>
          </cell>
          <cell r="O915">
            <v>0.2201363808908206</v>
          </cell>
          <cell r="P915">
            <v>6.455416300085756</v>
          </cell>
          <cell r="Q915">
            <v>6.675552680976576</v>
          </cell>
          <cell r="R915">
            <v>0</v>
          </cell>
          <cell r="S915">
            <v>20.56</v>
          </cell>
          <cell r="T915">
            <v>0.12742142857142857</v>
          </cell>
          <cell r="U915">
            <v>0.11505348214285714</v>
          </cell>
          <cell r="V915">
            <v>20.802474910714285</v>
          </cell>
          <cell r="W915">
            <v>0.07225459281728466</v>
          </cell>
          <cell r="X915">
            <v>1.0471181671803733</v>
          </cell>
          <cell r="Y915">
            <v>0.11151840023026505</v>
          </cell>
          <cell r="Z915">
            <v>29.611207400119124</v>
          </cell>
        </row>
        <row r="916">
          <cell r="G916">
            <v>216431</v>
          </cell>
          <cell r="H916">
            <v>42.81075469001813</v>
          </cell>
          <cell r="I916">
            <v>0.08117157111937748</v>
          </cell>
          <cell r="J916">
            <v>0.5786421663666775</v>
          </cell>
          <cell r="K916">
            <v>0.12742142857142857</v>
          </cell>
          <cell r="L916">
            <v>0.11505348214285714</v>
          </cell>
          <cell r="M916">
            <v>0.9022886482003407</v>
          </cell>
          <cell r="N916">
            <v>0.5889788635977029</v>
          </cell>
          <cell r="O916">
            <v>0.2201363808908206</v>
          </cell>
          <cell r="P916">
            <v>6.455416300085756</v>
          </cell>
          <cell r="Q916">
            <v>6.675552680976576</v>
          </cell>
          <cell r="R916">
            <v>0</v>
          </cell>
          <cell r="S916">
            <v>20.56</v>
          </cell>
          <cell r="T916">
            <v>0.12742142857142857</v>
          </cell>
          <cell r="U916">
            <v>0.11505348214285714</v>
          </cell>
          <cell r="V916">
            <v>20.802474910714285</v>
          </cell>
          <cell r="W916">
            <v>0.07225459281728466</v>
          </cell>
          <cell r="X916">
            <v>1.0088604780231585</v>
          </cell>
          <cell r="Y916">
            <v>0.10815172358443015</v>
          </cell>
          <cell r="Z916">
            <v>29.56958303431608</v>
          </cell>
        </row>
        <row r="917">
          <cell r="G917">
            <v>216511</v>
          </cell>
          <cell r="H917">
            <v>32.953439193388654</v>
          </cell>
          <cell r="I917">
            <v>0.04620791214036711</v>
          </cell>
          <cell r="J917">
            <v>0.5038714213278299</v>
          </cell>
          <cell r="K917">
            <v>0.12742142857142857</v>
          </cell>
          <cell r="L917">
            <v>0.11505348214285714</v>
          </cell>
          <cell r="M917">
            <v>0.7925542441824828</v>
          </cell>
          <cell r="O917">
            <v>0.2201363808908206</v>
          </cell>
          <cell r="P917">
            <v>5.510318677059164</v>
          </cell>
          <cell r="Q917">
            <v>5.730455057949984</v>
          </cell>
          <cell r="R917">
            <v>0</v>
          </cell>
          <cell r="S917">
            <v>21.50779220779221</v>
          </cell>
          <cell r="T917">
            <v>0.12742142857142857</v>
          </cell>
          <cell r="U917">
            <v>0.11505348214285714</v>
          </cell>
          <cell r="V917">
            <v>21.750267118506496</v>
          </cell>
          <cell r="W917">
            <v>0.055617737834521654</v>
          </cell>
          <cell r="X917">
            <v>0.8869414871943762</v>
          </cell>
          <cell r="Y917">
            <v>0.09742285239149731</v>
          </cell>
          <cell r="Z917">
            <v>29.31325849805936</v>
          </cell>
        </row>
        <row r="918">
          <cell r="G918">
            <v>216521</v>
          </cell>
          <cell r="H918">
            <v>42.81075469001813</v>
          </cell>
          <cell r="I918">
            <v>0.08117157111937748</v>
          </cell>
          <cell r="J918">
            <v>0.5786421663666775</v>
          </cell>
          <cell r="K918">
            <v>0.12742142857142857</v>
          </cell>
          <cell r="L918">
            <v>0.11505348214285714</v>
          </cell>
          <cell r="M918">
            <v>0.9022886482003407</v>
          </cell>
          <cell r="O918">
            <v>0.2201363808908206</v>
          </cell>
          <cell r="P918">
            <v>6.455416300085756</v>
          </cell>
          <cell r="Q918">
            <v>6.675552680976576</v>
          </cell>
          <cell r="R918">
            <v>0</v>
          </cell>
          <cell r="S918">
            <v>22.60739299610895</v>
          </cell>
          <cell r="T918">
            <v>0.12742142857142857</v>
          </cell>
          <cell r="U918">
            <v>0.11505348214285714</v>
          </cell>
          <cell r="V918">
            <v>22.849867906823235</v>
          </cell>
          <cell r="W918">
            <v>0.07225459281728466</v>
          </cell>
          <cell r="X918">
            <v>1.0471181671803733</v>
          </cell>
          <cell r="Y918">
            <v>0.11151840023026505</v>
          </cell>
          <cell r="Z918">
            <v>31.65860039622807</v>
          </cell>
        </row>
        <row r="919">
          <cell r="G919">
            <v>216531</v>
          </cell>
          <cell r="H919">
            <v>42.81075469001813</v>
          </cell>
          <cell r="I919">
            <v>0.08117157111937748</v>
          </cell>
          <cell r="J919">
            <v>0.5786421663666775</v>
          </cell>
          <cell r="K919">
            <v>0.12742142857142857</v>
          </cell>
          <cell r="L919">
            <v>0.11505348214285714</v>
          </cell>
          <cell r="M919">
            <v>0.9022886482003407</v>
          </cell>
          <cell r="N919">
            <v>0.5889788635977029</v>
          </cell>
          <cell r="O919">
            <v>0.2201363808908206</v>
          </cell>
          <cell r="P919">
            <v>6.455416300085756</v>
          </cell>
          <cell r="Q919">
            <v>6.675552680976576</v>
          </cell>
          <cell r="R919">
            <v>0</v>
          </cell>
          <cell r="S919">
            <v>22.60739299610895</v>
          </cell>
          <cell r="T919">
            <v>0.12742142857142857</v>
          </cell>
          <cell r="U919">
            <v>0.11505348214285714</v>
          </cell>
          <cell r="V919">
            <v>22.849867906823235</v>
          </cell>
          <cell r="W919">
            <v>0.07225459281728466</v>
          </cell>
          <cell r="X919">
            <v>1.0088604780231585</v>
          </cell>
          <cell r="Y919">
            <v>0.10815172358443015</v>
          </cell>
          <cell r="Z919">
            <v>31.616976030425025</v>
          </cell>
        </row>
        <row r="920">
          <cell r="G920">
            <v>217411</v>
          </cell>
          <cell r="H920">
            <v>32.953439193388654</v>
          </cell>
          <cell r="I920">
            <v>0.04620791214036711</v>
          </cell>
          <cell r="J920">
            <v>0.5038714213278299</v>
          </cell>
          <cell r="K920">
            <v>0.12742142857142857</v>
          </cell>
          <cell r="L920">
            <v>0.11505348214285714</v>
          </cell>
          <cell r="M920">
            <v>0.7925542441824828</v>
          </cell>
          <cell r="O920">
            <v>0.2201363808908206</v>
          </cell>
          <cell r="P920">
            <v>5.510318677059164</v>
          </cell>
          <cell r="Q920">
            <v>5.730455057949984</v>
          </cell>
          <cell r="R920">
            <v>0</v>
          </cell>
          <cell r="S920">
            <v>20.56</v>
          </cell>
          <cell r="T920">
            <v>0.12742142857142857</v>
          </cell>
          <cell r="U920">
            <v>0.11505348214285714</v>
          </cell>
          <cell r="V920">
            <v>20.802474910714285</v>
          </cell>
          <cell r="W920">
            <v>0.055617737834521654</v>
          </cell>
          <cell r="X920">
            <v>0.8869414871943762</v>
          </cell>
          <cell r="Y920">
            <v>0.09742285239149731</v>
          </cell>
          <cell r="Z920">
            <v>28.365466290267147</v>
          </cell>
        </row>
        <row r="921">
          <cell r="G921">
            <v>217421</v>
          </cell>
          <cell r="H921">
            <v>42.81075469001813</v>
          </cell>
          <cell r="I921">
            <v>0.08117157111937748</v>
          </cell>
          <cell r="J921">
            <v>0.5786421663666775</v>
          </cell>
          <cell r="K921">
            <v>0.12742142857142857</v>
          </cell>
          <cell r="L921">
            <v>0.11505348214285714</v>
          </cell>
          <cell r="M921">
            <v>0.9022886482003407</v>
          </cell>
          <cell r="O921">
            <v>0.2201363808908206</v>
          </cell>
          <cell r="P921">
            <v>6.455416300085756</v>
          </cell>
          <cell r="Q921">
            <v>6.675552680976576</v>
          </cell>
          <cell r="R921">
            <v>0</v>
          </cell>
          <cell r="S921">
            <v>20.56</v>
          </cell>
          <cell r="T921">
            <v>0.12742142857142857</v>
          </cell>
          <cell r="U921">
            <v>0.11505348214285714</v>
          </cell>
          <cell r="V921">
            <v>20.802474910714285</v>
          </cell>
          <cell r="W921">
            <v>0.07225459281728466</v>
          </cell>
          <cell r="X921">
            <v>1.0471181671803733</v>
          </cell>
          <cell r="Y921">
            <v>0.11151840023026505</v>
          </cell>
          <cell r="Z921">
            <v>29.611207400119124</v>
          </cell>
        </row>
        <row r="922">
          <cell r="G922">
            <v>217431</v>
          </cell>
          <cell r="H922">
            <v>42.81075469001813</v>
          </cell>
          <cell r="I922">
            <v>0.08117157111937748</v>
          </cell>
          <cell r="J922">
            <v>0.5786421663666775</v>
          </cell>
          <cell r="K922">
            <v>0.12742142857142857</v>
          </cell>
          <cell r="L922">
            <v>0.11505348214285714</v>
          </cell>
          <cell r="M922">
            <v>0.9022886482003407</v>
          </cell>
          <cell r="N922">
            <v>0.5889788635977029</v>
          </cell>
          <cell r="O922">
            <v>0.2201363808908206</v>
          </cell>
          <cell r="P922">
            <v>6.455416300085756</v>
          </cell>
          <cell r="Q922">
            <v>6.675552680976576</v>
          </cell>
          <cell r="R922">
            <v>0</v>
          </cell>
          <cell r="S922">
            <v>20.56</v>
          </cell>
          <cell r="T922">
            <v>0.12742142857142857</v>
          </cell>
          <cell r="U922">
            <v>0.11505348214285714</v>
          </cell>
          <cell r="V922">
            <v>20.802474910714285</v>
          </cell>
          <cell r="W922">
            <v>0.07225459281728466</v>
          </cell>
          <cell r="X922">
            <v>1.0088604780231585</v>
          </cell>
          <cell r="Y922">
            <v>0.10815172358443015</v>
          </cell>
          <cell r="Z922">
            <v>29.56958303431608</v>
          </cell>
        </row>
        <row r="923">
          <cell r="G923">
            <v>217511</v>
          </cell>
          <cell r="H923">
            <v>32.953439193388654</v>
          </cell>
          <cell r="I923">
            <v>0.04620791214036711</v>
          </cell>
          <cell r="J923">
            <v>0.5038714213278299</v>
          </cell>
          <cell r="K923">
            <v>0.12742142857142857</v>
          </cell>
          <cell r="L923">
            <v>0.11505348214285714</v>
          </cell>
          <cell r="M923">
            <v>0.7925542441824828</v>
          </cell>
          <cell r="O923">
            <v>0.2201363808908206</v>
          </cell>
          <cell r="P923">
            <v>5.510318677059164</v>
          </cell>
          <cell r="Q923">
            <v>5.730455057949984</v>
          </cell>
          <cell r="R923">
            <v>0</v>
          </cell>
          <cell r="S923">
            <v>21.50779220779221</v>
          </cell>
          <cell r="T923">
            <v>0.12742142857142857</v>
          </cell>
          <cell r="U923">
            <v>0.11505348214285714</v>
          </cell>
          <cell r="V923">
            <v>21.750267118506496</v>
          </cell>
          <cell r="W923">
            <v>0.055617737834521654</v>
          </cell>
          <cell r="X923">
            <v>0.8869414871943762</v>
          </cell>
          <cell r="Y923">
            <v>0.09742285239149731</v>
          </cell>
          <cell r="Z923">
            <v>29.31325849805936</v>
          </cell>
        </row>
        <row r="924">
          <cell r="G924">
            <v>217521</v>
          </cell>
          <cell r="H924">
            <v>42.81075469001813</v>
          </cell>
          <cell r="I924">
            <v>0.08117157111937748</v>
          </cell>
          <cell r="J924">
            <v>0.5786421663666775</v>
          </cell>
          <cell r="K924">
            <v>0.12742142857142857</v>
          </cell>
          <cell r="L924">
            <v>0.11505348214285714</v>
          </cell>
          <cell r="M924">
            <v>0.9022886482003407</v>
          </cell>
          <cell r="O924">
            <v>0.2201363808908206</v>
          </cell>
          <cell r="P924">
            <v>6.455416300085756</v>
          </cell>
          <cell r="Q924">
            <v>6.675552680976576</v>
          </cell>
          <cell r="R924">
            <v>0</v>
          </cell>
          <cell r="S924">
            <v>22.60739299610895</v>
          </cell>
          <cell r="T924">
            <v>0.12742142857142857</v>
          </cell>
          <cell r="U924">
            <v>0.11505348214285714</v>
          </cell>
          <cell r="V924">
            <v>22.849867906823235</v>
          </cell>
          <cell r="W924">
            <v>0.07225459281728466</v>
          </cell>
          <cell r="X924">
            <v>1.0471181671803733</v>
          </cell>
          <cell r="Y924">
            <v>0.11151840023026505</v>
          </cell>
          <cell r="Z924">
            <v>31.65860039622807</v>
          </cell>
        </row>
        <row r="925">
          <cell r="G925">
            <v>217531</v>
          </cell>
          <cell r="H925">
            <v>42.81075469001813</v>
          </cell>
          <cell r="I925">
            <v>0.08117157111937748</v>
          </cell>
          <cell r="J925">
            <v>0.5786421663666775</v>
          </cell>
          <cell r="K925">
            <v>0.12742142857142857</v>
          </cell>
          <cell r="L925">
            <v>0.11505348214285714</v>
          </cell>
          <cell r="M925">
            <v>0.9022886482003407</v>
          </cell>
          <cell r="N925">
            <v>0.5889788635977029</v>
          </cell>
          <cell r="O925">
            <v>0.2201363808908206</v>
          </cell>
          <cell r="P925">
            <v>6.455416300085756</v>
          </cell>
          <cell r="Q925">
            <v>6.675552680976576</v>
          </cell>
          <cell r="R925">
            <v>0</v>
          </cell>
          <cell r="S925">
            <v>22.60739299610895</v>
          </cell>
          <cell r="T925">
            <v>0.12742142857142857</v>
          </cell>
          <cell r="U925">
            <v>0.11505348214285714</v>
          </cell>
          <cell r="V925">
            <v>22.849867906823235</v>
          </cell>
          <cell r="W925">
            <v>0.07225459281728466</v>
          </cell>
          <cell r="X925">
            <v>1.0088604780231585</v>
          </cell>
          <cell r="Y925">
            <v>0.10815172358443015</v>
          </cell>
          <cell r="Z925">
            <v>31.616976030425025</v>
          </cell>
        </row>
        <row r="926">
          <cell r="G926">
            <v>218811</v>
          </cell>
          <cell r="H926">
            <v>32.953439193388654</v>
          </cell>
          <cell r="I926">
            <v>0.04620791214036711</v>
          </cell>
          <cell r="J926">
            <v>0.5038714213278299</v>
          </cell>
          <cell r="K926">
            <v>0.12742142857142857</v>
          </cell>
          <cell r="L926">
            <v>0.11505348214285714</v>
          </cell>
          <cell r="M926">
            <v>0.7925542441824828</v>
          </cell>
          <cell r="O926">
            <v>0.2201363808908206</v>
          </cell>
          <cell r="P926">
            <v>5.510318677059164</v>
          </cell>
          <cell r="Q926">
            <v>5.730455057949984</v>
          </cell>
          <cell r="R926">
            <v>0</v>
          </cell>
          <cell r="S926">
            <v>22.99</v>
          </cell>
          <cell r="T926">
            <v>0.12742142857142857</v>
          </cell>
          <cell r="U926">
            <v>0.11505348214285714</v>
          </cell>
          <cell r="V926">
            <v>23.232474910714284</v>
          </cell>
          <cell r="W926">
            <v>0.055617737834521654</v>
          </cell>
          <cell r="X926">
            <v>0.8869414871943762</v>
          </cell>
          <cell r="Y926">
            <v>0.09742285239149731</v>
          </cell>
          <cell r="Z926">
            <v>30.795466290267147</v>
          </cell>
        </row>
        <row r="927">
          <cell r="G927">
            <v>218821</v>
          </cell>
          <cell r="H927">
            <v>42.81075469001813</v>
          </cell>
          <cell r="I927">
            <v>0.08117157111937748</v>
          </cell>
          <cell r="J927">
            <v>0.5786421663666775</v>
          </cell>
          <cell r="K927">
            <v>0.12742142857142857</v>
          </cell>
          <cell r="L927">
            <v>0.11505348214285714</v>
          </cell>
          <cell r="M927">
            <v>0.9022886482003407</v>
          </cell>
          <cell r="O927">
            <v>0.2201363808908206</v>
          </cell>
          <cell r="P927">
            <v>6.455416300085756</v>
          </cell>
          <cell r="Q927">
            <v>6.675552680976576</v>
          </cell>
          <cell r="R927">
            <v>0</v>
          </cell>
          <cell r="S927">
            <v>22.99</v>
          </cell>
          <cell r="T927">
            <v>0.12742142857142857</v>
          </cell>
          <cell r="U927">
            <v>0.11505348214285714</v>
          </cell>
          <cell r="V927">
            <v>23.232474910714284</v>
          </cell>
          <cell r="W927">
            <v>0.07225459281728466</v>
          </cell>
          <cell r="X927">
            <v>1.0471181671803733</v>
          </cell>
          <cell r="Y927">
            <v>0.11151840023026505</v>
          </cell>
          <cell r="Z927">
            <v>32.04120740011913</v>
          </cell>
        </row>
        <row r="928">
          <cell r="G928">
            <v>218831</v>
          </cell>
          <cell r="H928">
            <v>42.81075469001813</v>
          </cell>
          <cell r="I928">
            <v>0.08117157111937748</v>
          </cell>
          <cell r="J928">
            <v>0.5786421663666775</v>
          </cell>
          <cell r="K928">
            <v>0.12742142857142857</v>
          </cell>
          <cell r="L928">
            <v>0.11505348214285714</v>
          </cell>
          <cell r="M928">
            <v>0.9022886482003407</v>
          </cell>
          <cell r="N928">
            <v>0.5889788635977029</v>
          </cell>
          <cell r="O928">
            <v>0.2201363808908206</v>
          </cell>
          <cell r="P928">
            <v>6.455416300085756</v>
          </cell>
          <cell r="Q928">
            <v>6.675552680976576</v>
          </cell>
          <cell r="R928">
            <v>0</v>
          </cell>
          <cell r="S928">
            <v>22.99</v>
          </cell>
          <cell r="T928">
            <v>0.12742142857142857</v>
          </cell>
          <cell r="U928">
            <v>0.11505348214285714</v>
          </cell>
          <cell r="V928">
            <v>23.232474910714284</v>
          </cell>
          <cell r="W928">
            <v>0.07225459281728466</v>
          </cell>
          <cell r="X928">
            <v>1.0088604780231585</v>
          </cell>
          <cell r="Y928">
            <v>0.10815172358443015</v>
          </cell>
          <cell r="Z928">
            <v>31.99958303431608</v>
          </cell>
        </row>
        <row r="929">
          <cell r="G929">
            <v>218911</v>
          </cell>
          <cell r="H929">
            <v>32.953439193388654</v>
          </cell>
          <cell r="I929">
            <v>0.04620791214036711</v>
          </cell>
          <cell r="J929">
            <v>0.5038714213278299</v>
          </cell>
          <cell r="K929">
            <v>0.12742142857142857</v>
          </cell>
          <cell r="L929">
            <v>0.11505348214285714</v>
          </cell>
          <cell r="M929">
            <v>0.7925542441824828</v>
          </cell>
          <cell r="O929">
            <v>0.2201363808908206</v>
          </cell>
          <cell r="P929">
            <v>5.510318677059164</v>
          </cell>
          <cell r="Q929">
            <v>5.730455057949984</v>
          </cell>
          <cell r="R929">
            <v>0</v>
          </cell>
          <cell r="S929">
            <v>19.649999999999995</v>
          </cell>
          <cell r="T929">
            <v>0.12742142857142857</v>
          </cell>
          <cell r="U929">
            <v>0.11505348214285714</v>
          </cell>
          <cell r="V929">
            <v>19.89247491071428</v>
          </cell>
          <cell r="W929">
            <v>0.055617737834521654</v>
          </cell>
          <cell r="X929">
            <v>0.8869414871943762</v>
          </cell>
          <cell r="Y929">
            <v>0.09742285239149731</v>
          </cell>
          <cell r="Z929">
            <v>27.455466290267143</v>
          </cell>
        </row>
        <row r="930">
          <cell r="G930">
            <v>218921</v>
          </cell>
          <cell r="H930">
            <v>42.81075469001813</v>
          </cell>
          <cell r="I930">
            <v>0.08117157111937748</v>
          </cell>
          <cell r="J930">
            <v>0.5786421663666775</v>
          </cell>
          <cell r="K930">
            <v>0.12742142857142857</v>
          </cell>
          <cell r="L930">
            <v>0.11505348214285714</v>
          </cell>
          <cell r="M930">
            <v>0.9022886482003407</v>
          </cell>
          <cell r="O930">
            <v>0.2201363808908206</v>
          </cell>
          <cell r="P930">
            <v>6.455416300085756</v>
          </cell>
          <cell r="Q930">
            <v>6.675552680976576</v>
          </cell>
          <cell r="R930">
            <v>0</v>
          </cell>
          <cell r="S930">
            <v>19.65</v>
          </cell>
          <cell r="T930">
            <v>0.12742142857142857</v>
          </cell>
          <cell r="U930">
            <v>0.11505348214285714</v>
          </cell>
          <cell r="V930">
            <v>19.892474910714284</v>
          </cell>
          <cell r="W930">
            <v>0.07225459281728466</v>
          </cell>
          <cell r="X930">
            <v>1.0471181671803733</v>
          </cell>
          <cell r="Y930">
            <v>0.11151840023026505</v>
          </cell>
          <cell r="Z930">
            <v>28.70120740011912</v>
          </cell>
        </row>
        <row r="931">
          <cell r="G931">
            <v>218931</v>
          </cell>
          <cell r="H931">
            <v>42.81075469001813</v>
          </cell>
          <cell r="I931">
            <v>0.08117157111937748</v>
          </cell>
          <cell r="J931">
            <v>0.5786421663666775</v>
          </cell>
          <cell r="K931">
            <v>0.12742142857142857</v>
          </cell>
          <cell r="L931">
            <v>0.11505348214285714</v>
          </cell>
          <cell r="M931">
            <v>0.9022886482003407</v>
          </cell>
          <cell r="N931">
            <v>0.5889788635977029</v>
          </cell>
          <cell r="O931">
            <v>0.2201363808908206</v>
          </cell>
          <cell r="P931">
            <v>6.455416300085756</v>
          </cell>
          <cell r="Q931">
            <v>6.675552680976576</v>
          </cell>
          <cell r="R931">
            <v>0</v>
          </cell>
          <cell r="S931">
            <v>19.65</v>
          </cell>
          <cell r="T931">
            <v>0.12742142857142857</v>
          </cell>
          <cell r="U931">
            <v>0.11505348214285714</v>
          </cell>
          <cell r="V931">
            <v>19.892474910714284</v>
          </cell>
          <cell r="W931">
            <v>0.07225459281728466</v>
          </cell>
          <cell r="X931">
            <v>1.0088604780231585</v>
          </cell>
          <cell r="Y931">
            <v>0.10815172358443015</v>
          </cell>
          <cell r="Z931">
            <v>28.659583034316075</v>
          </cell>
        </row>
        <row r="932">
          <cell r="G932">
            <v>219911</v>
          </cell>
          <cell r="H932">
            <v>32.953439193388654</v>
          </cell>
          <cell r="I932">
            <v>0.04620791214036711</v>
          </cell>
          <cell r="J932">
            <v>0.5038714213278299</v>
          </cell>
          <cell r="K932">
            <v>0.12742142857142857</v>
          </cell>
          <cell r="L932">
            <v>0.11505348214285714</v>
          </cell>
          <cell r="M932">
            <v>0.7925542441824828</v>
          </cell>
          <cell r="O932">
            <v>0.2201363808908206</v>
          </cell>
          <cell r="P932">
            <v>8.582643001853086</v>
          </cell>
          <cell r="Q932">
            <v>8.802779382743907</v>
          </cell>
          <cell r="R932">
            <v>0</v>
          </cell>
          <cell r="S932">
            <v>19.649999999999995</v>
          </cell>
          <cell r="T932">
            <v>0.12742142857142857</v>
          </cell>
          <cell r="U932">
            <v>0.11505348214285714</v>
          </cell>
          <cell r="V932">
            <v>19.89247491071428</v>
          </cell>
          <cell r="W932">
            <v>0.055617737834521654</v>
          </cell>
          <cell r="X932">
            <v>0.8869414871943762</v>
          </cell>
          <cell r="Y932">
            <v>0.09742285239149731</v>
          </cell>
          <cell r="Z932">
            <v>30.527790615061065</v>
          </cell>
        </row>
        <row r="933">
          <cell r="G933">
            <v>219921</v>
          </cell>
          <cell r="H933">
            <v>42.81075469001813</v>
          </cell>
          <cell r="I933">
            <v>0.08117157111937748</v>
          </cell>
          <cell r="J933">
            <v>0.5786421663666775</v>
          </cell>
          <cell r="K933">
            <v>0.12742142857142857</v>
          </cell>
          <cell r="L933">
            <v>0.11505348214285714</v>
          </cell>
          <cell r="M933">
            <v>0.9022886482003407</v>
          </cell>
          <cell r="O933">
            <v>0.2201363808908206</v>
          </cell>
          <cell r="P933">
            <v>10.02262243444521</v>
          </cell>
          <cell r="Q933">
            <v>10.242758815336032</v>
          </cell>
          <cell r="R933">
            <v>0</v>
          </cell>
          <cell r="S933">
            <v>19.65</v>
          </cell>
          <cell r="T933">
            <v>0.12742142857142857</v>
          </cell>
          <cell r="U933">
            <v>0.11505348214285714</v>
          </cell>
          <cell r="V933">
            <v>19.892474910714284</v>
          </cell>
          <cell r="W933">
            <v>0.07225459281728466</v>
          </cell>
          <cell r="X933">
            <v>1.0471181671803733</v>
          </cell>
          <cell r="Y933">
            <v>0.11151840023026505</v>
          </cell>
          <cell r="Z933">
            <v>32.26841353447858</v>
          </cell>
        </row>
        <row r="934">
          <cell r="G934">
            <v>219931</v>
          </cell>
          <cell r="H934">
            <v>42.81075469001813</v>
          </cell>
          <cell r="I934">
            <v>0.08117157111937748</v>
          </cell>
          <cell r="J934">
            <v>0.5786421663666775</v>
          </cell>
          <cell r="K934">
            <v>0.12742142857142857</v>
          </cell>
          <cell r="L934">
            <v>0.11505348214285714</v>
          </cell>
          <cell r="M934">
            <v>0.9022886482003407</v>
          </cell>
          <cell r="N934">
            <v>0.5889788635977029</v>
          </cell>
          <cell r="O934">
            <v>0.2201363808908206</v>
          </cell>
          <cell r="P934">
            <v>10.02262243444521</v>
          </cell>
          <cell r="Q934">
            <v>10.242758815336032</v>
          </cell>
          <cell r="R934">
            <v>0</v>
          </cell>
          <cell r="S934">
            <v>19.65</v>
          </cell>
          <cell r="T934">
            <v>0.12742142857142857</v>
          </cell>
          <cell r="U934">
            <v>0.11505348214285714</v>
          </cell>
          <cell r="V934">
            <v>19.892474910714284</v>
          </cell>
          <cell r="W934">
            <v>0.07225459281728466</v>
          </cell>
          <cell r="X934">
            <v>1.0088604780231585</v>
          </cell>
          <cell r="Y934">
            <v>0.10815172358443015</v>
          </cell>
          <cell r="Z934">
            <v>32.22678916867552</v>
          </cell>
        </row>
        <row r="935">
          <cell r="G935">
            <v>224411</v>
          </cell>
          <cell r="H935">
            <v>26.938365332122803</v>
          </cell>
          <cell r="I935">
            <v>0.10767203553145469</v>
          </cell>
          <cell r="J935">
            <v>0.5896864408073259</v>
          </cell>
          <cell r="K935">
            <v>0.12742142857142857</v>
          </cell>
          <cell r="L935">
            <v>0.11505348214285714</v>
          </cell>
          <cell r="M935">
            <v>0.9398333870530663</v>
          </cell>
          <cell r="O935">
            <v>0.2201363808908206</v>
          </cell>
          <cell r="P935">
            <v>0.720773400546605</v>
          </cell>
          <cell r="Q935">
            <v>0.9409097814374257</v>
          </cell>
          <cell r="R935">
            <v>0</v>
          </cell>
          <cell r="S935">
            <v>20.56</v>
          </cell>
          <cell r="T935">
            <v>0.12742142857142857</v>
          </cell>
          <cell r="U935">
            <v>0.11505348214285714</v>
          </cell>
          <cell r="V935">
            <v>20.802474910714285</v>
          </cell>
          <cell r="W935">
            <v>0.04546569272906612</v>
          </cell>
          <cell r="X935">
            <v>0.8869414871943762</v>
          </cell>
          <cell r="Y935">
            <v>0.09742285239149731</v>
          </cell>
          <cell r="Z935">
            <v>23.713048111519715</v>
          </cell>
        </row>
        <row r="936">
          <cell r="G936">
            <v>224421</v>
          </cell>
          <cell r="H936">
            <v>26.21047515294914</v>
          </cell>
          <cell r="I936">
            <v>0.11550046541917636</v>
          </cell>
          <cell r="J936">
            <v>0.6415033910924338</v>
          </cell>
          <cell r="K936">
            <v>0.12742142857142857</v>
          </cell>
          <cell r="L936">
            <v>0.11505348214285714</v>
          </cell>
          <cell r="M936">
            <v>0.9994787672258959</v>
          </cell>
          <cell r="O936">
            <v>0.2201363808908206</v>
          </cell>
          <cell r="P936">
            <v>0.7551659729107357</v>
          </cell>
          <cell r="Q936">
            <v>0.9753023538015564</v>
          </cell>
          <cell r="R936">
            <v>0</v>
          </cell>
          <cell r="S936">
            <v>20.56</v>
          </cell>
          <cell r="T936">
            <v>0.12742142857142857</v>
          </cell>
          <cell r="U936">
            <v>0.11505348214285714</v>
          </cell>
          <cell r="V936">
            <v>20.802474910714285</v>
          </cell>
          <cell r="W936">
            <v>0.044237183470289695</v>
          </cell>
          <cell r="X936">
            <v>1.0471181671803733</v>
          </cell>
          <cell r="Y936">
            <v>0.11151840023026505</v>
          </cell>
          <cell r="Z936">
            <v>23.98012978262266</v>
          </cell>
        </row>
        <row r="937">
          <cell r="G937">
            <v>224431</v>
          </cell>
          <cell r="H937">
            <v>26.21047515294914</v>
          </cell>
          <cell r="I937">
            <v>0.11550046541917636</v>
          </cell>
          <cell r="J937">
            <v>0.6415033910924338</v>
          </cell>
          <cell r="K937">
            <v>0.12742142857142857</v>
          </cell>
          <cell r="L937">
            <v>0.11505348214285714</v>
          </cell>
          <cell r="M937">
            <v>0.9994787672258959</v>
          </cell>
          <cell r="N937">
            <v>0.5889788635977029</v>
          </cell>
          <cell r="O937">
            <v>0.2201363808908206</v>
          </cell>
          <cell r="P937">
            <v>0.7551659729107357</v>
          </cell>
          <cell r="Q937">
            <v>0.9753023538015564</v>
          </cell>
          <cell r="R937">
            <v>0</v>
          </cell>
          <cell r="S937">
            <v>20.56</v>
          </cell>
          <cell r="T937">
            <v>0.12742142857142857</v>
          </cell>
          <cell r="U937">
            <v>0.11505348214285714</v>
          </cell>
          <cell r="V937">
            <v>20.802474910714285</v>
          </cell>
          <cell r="W937">
            <v>0.044237183470289695</v>
          </cell>
          <cell r="X937">
            <v>1.0088604780231585</v>
          </cell>
          <cell r="Y937">
            <v>0.10815172358443015</v>
          </cell>
          <cell r="Z937">
            <v>23.938505416819616</v>
          </cell>
        </row>
        <row r="938">
          <cell r="G938">
            <v>224511</v>
          </cell>
          <cell r="H938">
            <v>30.816114341907</v>
          </cell>
          <cell r="I938">
            <v>0.10767203553145469</v>
          </cell>
          <cell r="J938">
            <v>0.5896864408073259</v>
          </cell>
          <cell r="K938">
            <v>0.12742142857142857</v>
          </cell>
          <cell r="L938">
            <v>0.11505348214285714</v>
          </cell>
          <cell r="M938">
            <v>0.9398333870530663</v>
          </cell>
          <cell r="O938">
            <v>0.2201363808908206</v>
          </cell>
          <cell r="P938">
            <v>0.720773400546605</v>
          </cell>
          <cell r="Q938">
            <v>0.9409097814374257</v>
          </cell>
          <cell r="R938">
            <v>0</v>
          </cell>
          <cell r="S938">
            <v>23.836777283880085</v>
          </cell>
          <cell r="T938">
            <v>0.12742142857142857</v>
          </cell>
          <cell r="U938">
            <v>0.11505348214285714</v>
          </cell>
          <cell r="V938">
            <v>24.07925219459437</v>
          </cell>
          <cell r="W938">
            <v>0.05201043079262833</v>
          </cell>
          <cell r="X938">
            <v>0.8869414871943762</v>
          </cell>
          <cell r="Y938">
            <v>0.09742285239149731</v>
          </cell>
          <cell r="Z938">
            <v>26.996370133463365</v>
          </cell>
        </row>
        <row r="939">
          <cell r="G939">
            <v>224521</v>
          </cell>
          <cell r="H939">
            <v>30.21047515294914</v>
          </cell>
          <cell r="I939">
            <v>0.11550046541917636</v>
          </cell>
          <cell r="J939">
            <v>0.6415033910924338</v>
          </cell>
          <cell r="K939">
            <v>0.12742142857142857</v>
          </cell>
          <cell r="L939">
            <v>0.11505348214285714</v>
          </cell>
          <cell r="M939">
            <v>0.9994787672258959</v>
          </cell>
          <cell r="O939">
            <v>0.2201363808908206</v>
          </cell>
          <cell r="P939">
            <v>0.7551659729107357</v>
          </cell>
          <cell r="Q939">
            <v>0.9753023538015564</v>
          </cell>
          <cell r="R939">
            <v>0</v>
          </cell>
          <cell r="S939">
            <v>23.77365936000387</v>
          </cell>
          <cell r="T939">
            <v>0.12742142857142857</v>
          </cell>
          <cell r="U939">
            <v>0.11505348214285714</v>
          </cell>
          <cell r="V939">
            <v>24.016134270718155</v>
          </cell>
          <cell r="W939">
            <v>0.05098825276028114</v>
          </cell>
          <cell r="X939">
            <v>1.0471181671803733</v>
          </cell>
          <cell r="Y939">
            <v>0.11151840023026505</v>
          </cell>
          <cell r="Z939">
            <v>27.200540211916522</v>
          </cell>
        </row>
        <row r="940">
          <cell r="G940">
            <v>224531</v>
          </cell>
          <cell r="H940">
            <v>30.21047515294914</v>
          </cell>
          <cell r="I940">
            <v>0.11550046541917636</v>
          </cell>
          <cell r="J940">
            <v>0.6415033910924338</v>
          </cell>
          <cell r="K940">
            <v>0.12742142857142857</v>
          </cell>
          <cell r="L940">
            <v>0.11505348214285714</v>
          </cell>
          <cell r="M940">
            <v>0.9994787672258959</v>
          </cell>
          <cell r="N940">
            <v>0.5889788635977029</v>
          </cell>
          <cell r="O940">
            <v>0.2201363808908206</v>
          </cell>
          <cell r="P940">
            <v>0.7551659729107357</v>
          </cell>
          <cell r="Q940">
            <v>0.9753023538015564</v>
          </cell>
          <cell r="R940">
            <v>0</v>
          </cell>
          <cell r="S940">
            <v>23.77365936000387</v>
          </cell>
          <cell r="T940">
            <v>0.12742142857142857</v>
          </cell>
          <cell r="U940">
            <v>0.11505348214285714</v>
          </cell>
          <cell r="V940">
            <v>24.016134270718155</v>
          </cell>
          <cell r="W940">
            <v>0.05098825276028114</v>
          </cell>
          <cell r="X940">
            <v>1.0088604780231585</v>
          </cell>
          <cell r="Y940">
            <v>0.10815172358443015</v>
          </cell>
          <cell r="Z940">
            <v>27.158915846113477</v>
          </cell>
        </row>
        <row r="941">
          <cell r="G941">
            <v>225611</v>
          </cell>
          <cell r="H941">
            <v>44.44717152055029</v>
          </cell>
          <cell r="I941">
            <v>0.10767203553145469</v>
          </cell>
          <cell r="J941">
            <v>0.5896864408073259</v>
          </cell>
          <cell r="K941">
            <v>0.12742142857142857</v>
          </cell>
          <cell r="L941">
            <v>0.11505348214285714</v>
          </cell>
          <cell r="M941">
            <v>0.9398333870530663</v>
          </cell>
          <cell r="O941">
            <v>0.2201363808908206</v>
          </cell>
          <cell r="P941">
            <v>0.7551659729107357</v>
          </cell>
          <cell r="Q941">
            <v>0.9753023538015564</v>
          </cell>
          <cell r="R941">
            <v>0</v>
          </cell>
          <cell r="S941">
            <v>37.074770079717844</v>
          </cell>
          <cell r="T941">
            <v>0.12742142857142857</v>
          </cell>
          <cell r="U941">
            <v>0.11505348214285714</v>
          </cell>
          <cell r="V941">
            <v>37.31724499043213</v>
          </cell>
          <cell r="W941">
            <v>0.07501648366984237</v>
          </cell>
          <cell r="X941">
            <v>0.8869414871943762</v>
          </cell>
          <cell r="Y941">
            <v>0.09742285239149731</v>
          </cell>
          <cell r="Z941">
            <v>40.29176155454247</v>
          </cell>
        </row>
        <row r="942">
          <cell r="G942">
            <v>225621</v>
          </cell>
          <cell r="H942">
            <v>43.21047515294914</v>
          </cell>
          <cell r="I942">
            <v>0.11550046541917636</v>
          </cell>
          <cell r="J942">
            <v>0.6415033910924338</v>
          </cell>
          <cell r="K942">
            <v>0.12742142857142857</v>
          </cell>
          <cell r="L942">
            <v>0.11505348214285714</v>
          </cell>
          <cell r="M942">
            <v>0.9994787672258959</v>
          </cell>
          <cell r="O942">
            <v>0.2201363808908206</v>
          </cell>
          <cell r="P942">
            <v>0.518773400546605</v>
          </cell>
          <cell r="Q942">
            <v>0.7389097814374257</v>
          </cell>
          <cell r="R942">
            <v>0</v>
          </cell>
          <cell r="S942">
            <v>36.92625731765616</v>
          </cell>
          <cell r="T942">
            <v>0.12742142857142857</v>
          </cell>
          <cell r="U942">
            <v>0.11505348214285714</v>
          </cell>
          <cell r="V942">
            <v>37.168732228370445</v>
          </cell>
          <cell r="W942">
            <v>0.07292922795275333</v>
          </cell>
          <cell r="X942">
            <v>1.0471181671803733</v>
          </cell>
          <cell r="Y942">
            <v>0.11151840023026505</v>
          </cell>
          <cell r="Z942">
            <v>40.138686572397155</v>
          </cell>
        </row>
        <row r="943">
          <cell r="G943">
            <v>225631</v>
          </cell>
          <cell r="H943">
            <v>43.21047515294914</v>
          </cell>
          <cell r="I943">
            <v>0.11550046541917636</v>
          </cell>
          <cell r="J943">
            <v>0.6415033910924338</v>
          </cell>
          <cell r="K943">
            <v>0.12742142857142857</v>
          </cell>
          <cell r="L943">
            <v>0.11505348214285714</v>
          </cell>
          <cell r="M943">
            <v>0.9994787672258959</v>
          </cell>
          <cell r="N943">
            <v>0.5889788635977029</v>
          </cell>
          <cell r="O943">
            <v>0.2201363808908206</v>
          </cell>
          <cell r="P943">
            <v>0.5531659729107357</v>
          </cell>
          <cell r="Q943">
            <v>0.7733023538015562</v>
          </cell>
          <cell r="R943">
            <v>0</v>
          </cell>
          <cell r="S943">
            <v>36.92625731765616</v>
          </cell>
          <cell r="T943">
            <v>0.12742142857142857</v>
          </cell>
          <cell r="U943">
            <v>0.11505348214285714</v>
          </cell>
          <cell r="V943">
            <v>37.168732228370445</v>
          </cell>
          <cell r="W943">
            <v>0.07292922795275333</v>
          </cell>
          <cell r="X943">
            <v>1.0088604780231585</v>
          </cell>
          <cell r="Y943">
            <v>0.10815172358443015</v>
          </cell>
          <cell r="Z943">
            <v>40.131454778958236</v>
          </cell>
        </row>
        <row r="944">
          <cell r="G944">
            <v>225711</v>
          </cell>
          <cell r="H944">
            <v>28.877239837014898</v>
          </cell>
          <cell r="I944">
            <v>0.10767203553145469</v>
          </cell>
          <cell r="J944">
            <v>0.5896864408073259</v>
          </cell>
          <cell r="K944">
            <v>0.12742142857142857</v>
          </cell>
          <cell r="L944">
            <v>0.11505348214285714</v>
          </cell>
          <cell r="M944">
            <v>0.9398333870530663</v>
          </cell>
          <cell r="O944">
            <v>0.2201363808908206</v>
          </cell>
          <cell r="P944">
            <v>0.7551659729107357</v>
          </cell>
          <cell r="Q944">
            <v>0.9753023538015564</v>
          </cell>
          <cell r="R944">
            <v>0</v>
          </cell>
          <cell r="S944">
            <v>21.93</v>
          </cell>
          <cell r="T944">
            <v>0.12742142857142857</v>
          </cell>
          <cell r="U944">
            <v>0.11505348214285714</v>
          </cell>
          <cell r="V944">
            <v>22.172474910714286</v>
          </cell>
          <cell r="W944">
            <v>0.04873806176084722</v>
          </cell>
          <cell r="X944">
            <v>0.8869414871943762</v>
          </cell>
          <cell r="Y944">
            <v>0.09742285239149731</v>
          </cell>
          <cell r="Z944">
            <v>25.12071305291563</v>
          </cell>
        </row>
        <row r="945">
          <cell r="G945">
            <v>225721</v>
          </cell>
          <cell r="H945">
            <v>29.210475152949144</v>
          </cell>
          <cell r="I945">
            <v>0.11550046541917636</v>
          </cell>
          <cell r="J945">
            <v>0.6415033910924338</v>
          </cell>
          <cell r="K945">
            <v>0.12742142857142857</v>
          </cell>
          <cell r="L945">
            <v>0.11505348214285714</v>
          </cell>
          <cell r="M945">
            <v>0.9994787672258959</v>
          </cell>
          <cell r="O945">
            <v>0.2201363808908206</v>
          </cell>
          <cell r="P945">
            <v>0.518773400546605</v>
          </cell>
          <cell r="Q945">
            <v>0.7389097814374257</v>
          </cell>
          <cell r="R945">
            <v>0</v>
          </cell>
          <cell r="S945">
            <v>21.93</v>
          </cell>
          <cell r="T945">
            <v>0.12742142857142857</v>
          </cell>
          <cell r="U945">
            <v>0.11505348214285714</v>
          </cell>
          <cell r="V945">
            <v>22.172474910714286</v>
          </cell>
          <cell r="W945">
            <v>0.04930048543778329</v>
          </cell>
          <cell r="X945">
            <v>1.0471181671803733</v>
          </cell>
          <cell r="Y945">
            <v>0.11151840023026505</v>
          </cell>
          <cell r="Z945">
            <v>25.118800512226027</v>
          </cell>
        </row>
        <row r="946">
          <cell r="G946">
            <v>225731</v>
          </cell>
          <cell r="H946">
            <v>29.210475152949144</v>
          </cell>
          <cell r="I946">
            <v>0.11550046541917636</v>
          </cell>
          <cell r="J946">
            <v>0.6415033910924338</v>
          </cell>
          <cell r="K946">
            <v>0.12742142857142857</v>
          </cell>
          <cell r="L946">
            <v>0.11505348214285714</v>
          </cell>
          <cell r="M946">
            <v>0.9994787672258959</v>
          </cell>
          <cell r="N946">
            <v>0.5889788635977029</v>
          </cell>
          <cell r="O946">
            <v>0.2201363808908206</v>
          </cell>
          <cell r="P946">
            <v>0.5531659729107357</v>
          </cell>
          <cell r="Q946">
            <v>0.7733023538015562</v>
          </cell>
          <cell r="R946">
            <v>0</v>
          </cell>
          <cell r="S946">
            <v>21.93</v>
          </cell>
          <cell r="T946">
            <v>0.12742142857142857</v>
          </cell>
          <cell r="U946">
            <v>0.11505348214285714</v>
          </cell>
          <cell r="V946">
            <v>22.172474910714286</v>
          </cell>
          <cell r="W946">
            <v>0.04930048543778329</v>
          </cell>
          <cell r="X946">
            <v>1.0088604780231585</v>
          </cell>
          <cell r="Y946">
            <v>0.10815172358443015</v>
          </cell>
          <cell r="Z946">
            <v>25.11156871878711</v>
          </cell>
        </row>
        <row r="947">
          <cell r="G947">
            <v>246411</v>
          </cell>
          <cell r="H947">
            <v>26.938365332122803</v>
          </cell>
          <cell r="I947">
            <v>0.10767203553145469</v>
          </cell>
          <cell r="J947">
            <v>0.5896864408073259</v>
          </cell>
          <cell r="K947">
            <v>0.12742142857142857</v>
          </cell>
          <cell r="L947">
            <v>0.11505348214285714</v>
          </cell>
          <cell r="M947">
            <v>0.9398333870530663</v>
          </cell>
          <cell r="O947">
            <v>0.2201363808908206</v>
          </cell>
          <cell r="P947">
            <v>0.720773400546605</v>
          </cell>
          <cell r="Q947">
            <v>0.9409097814374257</v>
          </cell>
          <cell r="R947">
            <v>0</v>
          </cell>
          <cell r="S947">
            <v>20.56</v>
          </cell>
          <cell r="T947">
            <v>0.12742142857142857</v>
          </cell>
          <cell r="U947">
            <v>0.11505348214285714</v>
          </cell>
          <cell r="V947">
            <v>20.802474910714285</v>
          </cell>
          <cell r="W947">
            <v>0.04546569272906612</v>
          </cell>
          <cell r="X947">
            <v>0.8869414871943762</v>
          </cell>
          <cell r="Y947">
            <v>0.09742285239149731</v>
          </cell>
          <cell r="Z947">
            <v>23.713048111519715</v>
          </cell>
        </row>
        <row r="948">
          <cell r="G948">
            <v>246421</v>
          </cell>
          <cell r="H948">
            <v>26.21047515294914</v>
          </cell>
          <cell r="I948">
            <v>0.11550046541917636</v>
          </cell>
          <cell r="J948">
            <v>0.6415033910924338</v>
          </cell>
          <cell r="K948">
            <v>0.12742142857142857</v>
          </cell>
          <cell r="L948">
            <v>0.11505348214285714</v>
          </cell>
          <cell r="M948">
            <v>0.9994787672258959</v>
          </cell>
          <cell r="O948">
            <v>0.2201363808908206</v>
          </cell>
          <cell r="P948">
            <v>0.7551659729107357</v>
          </cell>
          <cell r="Q948">
            <v>0.9753023538015564</v>
          </cell>
          <cell r="R948">
            <v>0</v>
          </cell>
          <cell r="S948">
            <v>20.56</v>
          </cell>
          <cell r="T948">
            <v>0.12742142857142857</v>
          </cell>
          <cell r="U948">
            <v>0.11505348214285714</v>
          </cell>
          <cell r="V948">
            <v>20.802474910714285</v>
          </cell>
          <cell r="W948">
            <v>0.044237183470289695</v>
          </cell>
          <cell r="X948">
            <v>1.0471181671803733</v>
          </cell>
          <cell r="Y948">
            <v>0.11151840023026505</v>
          </cell>
          <cell r="Z948">
            <v>23.98012978262266</v>
          </cell>
        </row>
        <row r="949">
          <cell r="G949">
            <v>246431</v>
          </cell>
          <cell r="H949">
            <v>26.21047515294914</v>
          </cell>
          <cell r="I949">
            <v>0.11550046541917636</v>
          </cell>
          <cell r="J949">
            <v>0.6415033910924338</v>
          </cell>
          <cell r="K949">
            <v>0.12742142857142857</v>
          </cell>
          <cell r="L949">
            <v>0.11505348214285714</v>
          </cell>
          <cell r="M949">
            <v>0.9994787672258959</v>
          </cell>
          <cell r="N949">
            <v>0.5889788635977029</v>
          </cell>
          <cell r="O949">
            <v>0.2201363808908206</v>
          </cell>
          <cell r="P949">
            <v>0.7551659729107357</v>
          </cell>
          <cell r="Q949">
            <v>0.9753023538015564</v>
          </cell>
          <cell r="R949">
            <v>0</v>
          </cell>
          <cell r="S949">
            <v>20.56</v>
          </cell>
          <cell r="T949">
            <v>0.12742142857142857</v>
          </cell>
          <cell r="U949">
            <v>0.11505348214285714</v>
          </cell>
          <cell r="V949">
            <v>20.802474910714285</v>
          </cell>
          <cell r="W949">
            <v>0.044237183470289695</v>
          </cell>
          <cell r="X949">
            <v>1.0088604780231585</v>
          </cell>
          <cell r="Y949">
            <v>0.10815172358443015</v>
          </cell>
          <cell r="Z949">
            <v>23.938505416819616</v>
          </cell>
        </row>
        <row r="950">
          <cell r="G950">
            <v>246511</v>
          </cell>
          <cell r="H950">
            <v>30.816114341907</v>
          </cell>
          <cell r="I950">
            <v>0.10767203553145469</v>
          </cell>
          <cell r="J950">
            <v>0.5896864408073259</v>
          </cell>
          <cell r="K950">
            <v>0.12742142857142857</v>
          </cell>
          <cell r="L950">
            <v>0.11505348214285714</v>
          </cell>
          <cell r="M950">
            <v>0.9398333870530663</v>
          </cell>
          <cell r="O950">
            <v>0.2201363808908206</v>
          </cell>
          <cell r="P950">
            <v>0.720773400546605</v>
          </cell>
          <cell r="Q950">
            <v>0.9409097814374257</v>
          </cell>
          <cell r="R950">
            <v>0</v>
          </cell>
          <cell r="S950">
            <v>23.836777283880085</v>
          </cell>
          <cell r="T950">
            <v>0.12742142857142857</v>
          </cell>
          <cell r="U950">
            <v>0.11505348214285714</v>
          </cell>
          <cell r="V950">
            <v>24.07925219459437</v>
          </cell>
          <cell r="W950">
            <v>0.05201043079262833</v>
          </cell>
          <cell r="X950">
            <v>0.8869414871943762</v>
          </cell>
          <cell r="Y950">
            <v>0.09742285239149731</v>
          </cell>
          <cell r="Z950">
            <v>26.996370133463365</v>
          </cell>
        </row>
        <row r="951">
          <cell r="G951">
            <v>246521</v>
          </cell>
          <cell r="H951">
            <v>30.21047515294914</v>
          </cell>
          <cell r="I951">
            <v>0.11550046541917636</v>
          </cell>
          <cell r="J951">
            <v>0.6415033910924338</v>
          </cell>
          <cell r="K951">
            <v>0.12742142857142857</v>
          </cell>
          <cell r="L951">
            <v>0.11505348214285714</v>
          </cell>
          <cell r="M951">
            <v>0.9994787672258959</v>
          </cell>
          <cell r="O951">
            <v>0.2201363808908206</v>
          </cell>
          <cell r="P951">
            <v>0.7551659729107357</v>
          </cell>
          <cell r="Q951">
            <v>0.9753023538015564</v>
          </cell>
          <cell r="R951">
            <v>0</v>
          </cell>
          <cell r="S951">
            <v>23.77365936000387</v>
          </cell>
          <cell r="T951">
            <v>0.12742142857142857</v>
          </cell>
          <cell r="U951">
            <v>0.11505348214285714</v>
          </cell>
          <cell r="V951">
            <v>24.016134270718155</v>
          </cell>
          <cell r="W951">
            <v>0.05098825276028114</v>
          </cell>
          <cell r="X951">
            <v>1.0471181671803733</v>
          </cell>
          <cell r="Y951">
            <v>0.11151840023026505</v>
          </cell>
          <cell r="Z951">
            <v>27.200540211916522</v>
          </cell>
        </row>
        <row r="952">
          <cell r="G952">
            <v>246531</v>
          </cell>
          <cell r="H952">
            <v>30.21047515294914</v>
          </cell>
          <cell r="I952">
            <v>0.11550046541917636</v>
          </cell>
          <cell r="J952">
            <v>0.6415033910924338</v>
          </cell>
          <cell r="K952">
            <v>0.12742142857142857</v>
          </cell>
          <cell r="L952">
            <v>0.11505348214285714</v>
          </cell>
          <cell r="M952">
            <v>0.9994787672258959</v>
          </cell>
          <cell r="N952">
            <v>0.5889788635977029</v>
          </cell>
          <cell r="O952">
            <v>0.2201363808908206</v>
          </cell>
          <cell r="P952">
            <v>0.7551659729107357</v>
          </cell>
          <cell r="Q952">
            <v>0.9753023538015564</v>
          </cell>
          <cell r="R952">
            <v>0</v>
          </cell>
          <cell r="S952">
            <v>23.77365936000387</v>
          </cell>
          <cell r="T952">
            <v>0.12742142857142857</v>
          </cell>
          <cell r="U952">
            <v>0.11505348214285714</v>
          </cell>
          <cell r="V952">
            <v>24.016134270718155</v>
          </cell>
          <cell r="W952">
            <v>0.05098825276028114</v>
          </cell>
          <cell r="X952">
            <v>1.0088604780231585</v>
          </cell>
          <cell r="Y952">
            <v>0.10815172358443015</v>
          </cell>
          <cell r="Z952">
            <v>27.158915846113477</v>
          </cell>
        </row>
        <row r="953">
          <cell r="G953">
            <v>257411</v>
          </cell>
          <cell r="H953">
            <v>26.938365332122803</v>
          </cell>
          <cell r="I953">
            <v>0.10767203553145469</v>
          </cell>
          <cell r="J953">
            <v>0.5896864408073259</v>
          </cell>
          <cell r="K953">
            <v>0.12742142857142857</v>
          </cell>
          <cell r="L953">
            <v>0.11505348214285714</v>
          </cell>
          <cell r="M953">
            <v>0.9398333870530663</v>
          </cell>
          <cell r="O953">
            <v>0.2201363808908206</v>
          </cell>
          <cell r="P953">
            <v>0.720773400546605</v>
          </cell>
          <cell r="Q953">
            <v>0.9409097814374257</v>
          </cell>
          <cell r="R953">
            <v>0</v>
          </cell>
          <cell r="S953">
            <v>20.56</v>
          </cell>
          <cell r="T953">
            <v>0.12742142857142857</v>
          </cell>
          <cell r="U953">
            <v>0.11505348214285714</v>
          </cell>
          <cell r="V953">
            <v>20.802474910714285</v>
          </cell>
          <cell r="W953">
            <v>0.04546569272906612</v>
          </cell>
          <cell r="X953">
            <v>0.8869414871943762</v>
          </cell>
          <cell r="Y953">
            <v>0.09742285239149731</v>
          </cell>
          <cell r="Z953">
            <v>23.713048111519715</v>
          </cell>
        </row>
        <row r="954">
          <cell r="G954">
            <v>257421</v>
          </cell>
          <cell r="H954">
            <v>26.21047515294914</v>
          </cell>
          <cell r="I954">
            <v>0.11550046541917636</v>
          </cell>
          <cell r="J954">
            <v>0.6415033910924338</v>
          </cell>
          <cell r="K954">
            <v>0.12742142857142857</v>
          </cell>
          <cell r="L954">
            <v>0.11505348214285714</v>
          </cell>
          <cell r="M954">
            <v>0.9994787672258959</v>
          </cell>
          <cell r="O954">
            <v>0.2201363808908206</v>
          </cell>
          <cell r="P954">
            <v>0.7551659729107357</v>
          </cell>
          <cell r="Q954">
            <v>0.9753023538015564</v>
          </cell>
          <cell r="R954">
            <v>0</v>
          </cell>
          <cell r="S954">
            <v>20.56</v>
          </cell>
          <cell r="T954">
            <v>0.12742142857142857</v>
          </cell>
          <cell r="U954">
            <v>0.11505348214285714</v>
          </cell>
          <cell r="V954">
            <v>20.802474910714285</v>
          </cell>
          <cell r="W954">
            <v>0.044237183470289695</v>
          </cell>
          <cell r="X954">
            <v>1.0471181671803733</v>
          </cell>
          <cell r="Y954">
            <v>0.11151840023026505</v>
          </cell>
          <cell r="Z954">
            <v>23.98012978262266</v>
          </cell>
        </row>
        <row r="955">
          <cell r="G955">
            <v>257431</v>
          </cell>
          <cell r="H955">
            <v>26.21047515294914</v>
          </cell>
          <cell r="I955">
            <v>0.11550046541917636</v>
          </cell>
          <cell r="J955">
            <v>0.6415033910924338</v>
          </cell>
          <cell r="K955">
            <v>0.12742142857142857</v>
          </cell>
          <cell r="L955">
            <v>0.11505348214285714</v>
          </cell>
          <cell r="M955">
            <v>0.9994787672258959</v>
          </cell>
          <cell r="N955">
            <v>0.5889788635977029</v>
          </cell>
          <cell r="O955">
            <v>0.2201363808908206</v>
          </cell>
          <cell r="P955">
            <v>0.7551659729107357</v>
          </cell>
          <cell r="Q955">
            <v>0.9753023538015564</v>
          </cell>
          <cell r="R955">
            <v>0</v>
          </cell>
          <cell r="S955">
            <v>20.56</v>
          </cell>
          <cell r="T955">
            <v>0.12742142857142857</v>
          </cell>
          <cell r="U955">
            <v>0.11505348214285714</v>
          </cell>
          <cell r="V955">
            <v>20.802474910714285</v>
          </cell>
          <cell r="W955">
            <v>0.044237183470289695</v>
          </cell>
          <cell r="X955">
            <v>1.0088604780231585</v>
          </cell>
          <cell r="Y955">
            <v>0.10815172358443015</v>
          </cell>
          <cell r="Z955">
            <v>23.938505416819616</v>
          </cell>
        </row>
        <row r="956">
          <cell r="G956">
            <v>257511</v>
          </cell>
          <cell r="H956">
            <v>30.816114341907</v>
          </cell>
          <cell r="I956">
            <v>0.10767203553145469</v>
          </cell>
          <cell r="J956">
            <v>0.5896864408073259</v>
          </cell>
          <cell r="K956">
            <v>0.12742142857142857</v>
          </cell>
          <cell r="L956">
            <v>0.11505348214285714</v>
          </cell>
          <cell r="M956">
            <v>0.9398333870530663</v>
          </cell>
          <cell r="O956">
            <v>0.2201363808908206</v>
          </cell>
          <cell r="P956">
            <v>0.720773400546605</v>
          </cell>
          <cell r="Q956">
            <v>0.9409097814374257</v>
          </cell>
          <cell r="R956">
            <v>0</v>
          </cell>
          <cell r="S956">
            <v>23.836777283880085</v>
          </cell>
          <cell r="T956">
            <v>0.12742142857142857</v>
          </cell>
          <cell r="U956">
            <v>0.11505348214285714</v>
          </cell>
          <cell r="V956">
            <v>24.07925219459437</v>
          </cell>
          <cell r="W956">
            <v>0.05201043079262833</v>
          </cell>
          <cell r="X956">
            <v>0.8869414871943762</v>
          </cell>
          <cell r="Y956">
            <v>0.09742285239149731</v>
          </cell>
          <cell r="Z956">
            <v>26.996370133463365</v>
          </cell>
        </row>
        <row r="957">
          <cell r="G957">
            <v>257521</v>
          </cell>
          <cell r="H957">
            <v>30.21047515294914</v>
          </cell>
          <cell r="I957">
            <v>0.11550046541917636</v>
          </cell>
          <cell r="J957">
            <v>0.6415033910924338</v>
          </cell>
          <cell r="K957">
            <v>0.12742142857142857</v>
          </cell>
          <cell r="L957">
            <v>0.11505348214285714</v>
          </cell>
          <cell r="M957">
            <v>0.9994787672258959</v>
          </cell>
          <cell r="O957">
            <v>0.2201363808908206</v>
          </cell>
          <cell r="P957">
            <v>0.7551659729107357</v>
          </cell>
          <cell r="Q957">
            <v>0.9753023538015564</v>
          </cell>
          <cell r="R957">
            <v>0</v>
          </cell>
          <cell r="S957">
            <v>23.77365936000387</v>
          </cell>
          <cell r="T957">
            <v>0.12742142857142857</v>
          </cell>
          <cell r="U957">
            <v>0.11505348214285714</v>
          </cell>
          <cell r="V957">
            <v>24.016134270718155</v>
          </cell>
          <cell r="W957">
            <v>0.05098825276028114</v>
          </cell>
          <cell r="X957">
            <v>1.0471181671803733</v>
          </cell>
          <cell r="Y957">
            <v>0.11151840023026505</v>
          </cell>
          <cell r="Z957">
            <v>27.200540211916522</v>
          </cell>
        </row>
        <row r="958">
          <cell r="G958">
            <v>257531</v>
          </cell>
          <cell r="H958">
            <v>30.21047515294914</v>
          </cell>
          <cell r="I958">
            <v>0.11550046541917636</v>
          </cell>
          <cell r="J958">
            <v>0.6415033910924338</v>
          </cell>
          <cell r="K958">
            <v>0.12742142857142857</v>
          </cell>
          <cell r="L958">
            <v>0.11505348214285714</v>
          </cell>
          <cell r="M958">
            <v>0.9994787672258959</v>
          </cell>
          <cell r="N958">
            <v>0.5889788635977029</v>
          </cell>
          <cell r="O958">
            <v>0.2201363808908206</v>
          </cell>
          <cell r="P958">
            <v>0.7551659729107357</v>
          </cell>
          <cell r="Q958">
            <v>0.9753023538015564</v>
          </cell>
          <cell r="R958">
            <v>0</v>
          </cell>
          <cell r="S958">
            <v>23.77365936000387</v>
          </cell>
          <cell r="T958">
            <v>0.12742142857142857</v>
          </cell>
          <cell r="U958">
            <v>0.11505348214285714</v>
          </cell>
          <cell r="V958">
            <v>24.016134270718155</v>
          </cell>
          <cell r="W958">
            <v>0.05098825276028114</v>
          </cell>
          <cell r="X958">
            <v>1.0088604780231585</v>
          </cell>
          <cell r="Y958">
            <v>0.10815172358443015</v>
          </cell>
          <cell r="Z958">
            <v>27.158915846113477</v>
          </cell>
        </row>
        <row r="959">
          <cell r="G959">
            <v>268811</v>
          </cell>
          <cell r="H959">
            <v>28.738365332122804</v>
          </cell>
          <cell r="I959">
            <v>0.10767203553145469</v>
          </cell>
          <cell r="J959">
            <v>0.5896864408073259</v>
          </cell>
          <cell r="K959">
            <v>0.12742142857142857</v>
          </cell>
          <cell r="L959">
            <v>0.11505348214285714</v>
          </cell>
          <cell r="M959">
            <v>0.9398333870530663</v>
          </cell>
          <cell r="O959">
            <v>0.2201363808908206</v>
          </cell>
          <cell r="P959">
            <v>0.720773400546605</v>
          </cell>
          <cell r="Q959">
            <v>0.9409097814374257</v>
          </cell>
          <cell r="R959">
            <v>0</v>
          </cell>
          <cell r="S959">
            <v>22.990000000000002</v>
          </cell>
          <cell r="T959">
            <v>0.12742142857142857</v>
          </cell>
          <cell r="U959">
            <v>0.11505348214285714</v>
          </cell>
          <cell r="V959">
            <v>23.232474910714288</v>
          </cell>
          <cell r="W959">
            <v>0.04850367390956227</v>
          </cell>
          <cell r="X959">
            <v>0.8869414871943762</v>
          </cell>
          <cell r="Y959">
            <v>0.09742285239149731</v>
          </cell>
          <cell r="Z959">
            <v>26.146086092700216</v>
          </cell>
        </row>
        <row r="960">
          <cell r="G960">
            <v>268821</v>
          </cell>
          <cell r="H960">
            <v>29.210475152949144</v>
          </cell>
          <cell r="I960">
            <v>0.11550046541917636</v>
          </cell>
          <cell r="J960">
            <v>0.6415033910924338</v>
          </cell>
          <cell r="K960">
            <v>0.12742142857142857</v>
          </cell>
          <cell r="L960">
            <v>0.11505348214285714</v>
          </cell>
          <cell r="M960">
            <v>0.9994787672258959</v>
          </cell>
          <cell r="O960">
            <v>0.2201363808908206</v>
          </cell>
          <cell r="P960">
            <v>0.7551659729107357</v>
          </cell>
          <cell r="Q960">
            <v>0.9753023538015564</v>
          </cell>
          <cell r="R960">
            <v>0</v>
          </cell>
          <cell r="S960">
            <v>22.99</v>
          </cell>
          <cell r="T960">
            <v>0.12742142857142857</v>
          </cell>
          <cell r="U960">
            <v>0.11505348214285714</v>
          </cell>
          <cell r="V960">
            <v>23.232474910714284</v>
          </cell>
          <cell r="W960">
            <v>0.04930048543778329</v>
          </cell>
          <cell r="X960">
            <v>1.0471181671803733</v>
          </cell>
          <cell r="Y960">
            <v>0.11151840023026505</v>
          </cell>
          <cell r="Z960">
            <v>26.415193084590154</v>
          </cell>
        </row>
        <row r="961">
          <cell r="G961">
            <v>268831</v>
          </cell>
          <cell r="H961">
            <v>29.210475152949144</v>
          </cell>
          <cell r="I961">
            <v>0.11550046541917636</v>
          </cell>
          <cell r="J961">
            <v>0.6415033910924338</v>
          </cell>
          <cell r="K961">
            <v>0.12742142857142857</v>
          </cell>
          <cell r="L961">
            <v>0.11505348214285714</v>
          </cell>
          <cell r="M961">
            <v>0.9994787672258959</v>
          </cell>
          <cell r="N961">
            <v>0.5889788635977029</v>
          </cell>
          <cell r="O961">
            <v>0.2201363808908206</v>
          </cell>
          <cell r="P961">
            <v>0.7551659729107357</v>
          </cell>
          <cell r="Q961">
            <v>0.9753023538015564</v>
          </cell>
          <cell r="R961">
            <v>0</v>
          </cell>
          <cell r="S961">
            <v>22.99</v>
          </cell>
          <cell r="T961">
            <v>0.12742142857142857</v>
          </cell>
          <cell r="U961">
            <v>0.11505348214285714</v>
          </cell>
          <cell r="V961">
            <v>23.232474910714284</v>
          </cell>
          <cell r="W961">
            <v>0.04930048543778329</v>
          </cell>
          <cell r="X961">
            <v>1.0088604780231585</v>
          </cell>
          <cell r="Y961">
            <v>0.10815172358443015</v>
          </cell>
          <cell r="Z961">
            <v>26.37356871878711</v>
          </cell>
        </row>
        <row r="962">
          <cell r="G962">
            <v>268911</v>
          </cell>
          <cell r="H962">
            <v>25.964160010344795</v>
          </cell>
          <cell r="I962">
            <v>0.10767203553145469</v>
          </cell>
          <cell r="J962">
            <v>0.5896864408073259</v>
          </cell>
          <cell r="K962">
            <v>0.12742142857142857</v>
          </cell>
          <cell r="L962">
            <v>0.11505348214285714</v>
          </cell>
          <cell r="M962">
            <v>0.9398333870530663</v>
          </cell>
          <cell r="O962">
            <v>0.2201363808908206</v>
          </cell>
          <cell r="P962">
            <v>0.720773400546605</v>
          </cell>
          <cell r="Q962">
            <v>0.9409097814374257</v>
          </cell>
          <cell r="R962">
            <v>0</v>
          </cell>
          <cell r="S962">
            <v>19.65</v>
          </cell>
          <cell r="T962">
            <v>0.12742142857142857</v>
          </cell>
          <cell r="U962">
            <v>0.11505348214285714</v>
          </cell>
          <cell r="V962">
            <v>19.892474910714284</v>
          </cell>
          <cell r="W962">
            <v>0.04382146082156568</v>
          </cell>
          <cell r="X962">
            <v>0.8869414871943762</v>
          </cell>
          <cell r="Y962">
            <v>0.09742285239149731</v>
          </cell>
          <cell r="Z962">
            <v>22.801403879612216</v>
          </cell>
        </row>
        <row r="963">
          <cell r="G963">
            <v>268921</v>
          </cell>
          <cell r="H963">
            <v>25.210475152949144</v>
          </cell>
          <cell r="I963">
            <v>0.11550046541917636</v>
          </cell>
          <cell r="J963">
            <v>0.6415033910924338</v>
          </cell>
          <cell r="K963">
            <v>0.12742142857142857</v>
          </cell>
          <cell r="L963">
            <v>0.11505348214285714</v>
          </cell>
          <cell r="M963">
            <v>0.9994787672258959</v>
          </cell>
          <cell r="O963">
            <v>0.2201363808908206</v>
          </cell>
          <cell r="P963">
            <v>0.7551659729107357</v>
          </cell>
          <cell r="Q963">
            <v>0.9753023538015564</v>
          </cell>
          <cell r="R963">
            <v>0</v>
          </cell>
          <cell r="S963">
            <v>19.65</v>
          </cell>
          <cell r="T963">
            <v>0.12742142857142857</v>
          </cell>
          <cell r="U963">
            <v>0.11505348214285714</v>
          </cell>
          <cell r="V963">
            <v>19.892474910714284</v>
          </cell>
          <cell r="W963">
            <v>0.04254941614779184</v>
          </cell>
          <cell r="X963">
            <v>1.0471181671803733</v>
          </cell>
          <cell r="Y963">
            <v>0.11151840023026505</v>
          </cell>
          <cell r="Z963">
            <v>23.068442015300164</v>
          </cell>
        </row>
        <row r="964">
          <cell r="G964">
            <v>268931</v>
          </cell>
          <cell r="H964">
            <v>25.210475152949144</v>
          </cell>
          <cell r="I964">
            <v>0.11550046541917636</v>
          </cell>
          <cell r="J964">
            <v>0.6415033910924338</v>
          </cell>
          <cell r="K964">
            <v>0.12742142857142857</v>
          </cell>
          <cell r="L964">
            <v>0.11505348214285714</v>
          </cell>
          <cell r="M964">
            <v>0.9994787672258959</v>
          </cell>
          <cell r="N964">
            <v>0.5889788635977029</v>
          </cell>
          <cell r="O964">
            <v>0.2201363808908206</v>
          </cell>
          <cell r="P964">
            <v>0.7551659729107357</v>
          </cell>
          <cell r="Q964">
            <v>0.9753023538015564</v>
          </cell>
          <cell r="R964">
            <v>0</v>
          </cell>
          <cell r="S964">
            <v>19.65</v>
          </cell>
          <cell r="T964">
            <v>0.12742142857142857</v>
          </cell>
          <cell r="U964">
            <v>0.11505348214285714</v>
          </cell>
          <cell r="V964">
            <v>19.892474910714284</v>
          </cell>
          <cell r="W964">
            <v>0.04254941614779184</v>
          </cell>
          <cell r="X964">
            <v>1.0088604780231585</v>
          </cell>
          <cell r="Y964">
            <v>0.10815172358443015</v>
          </cell>
          <cell r="Z964">
            <v>23.02681764949712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J55"/>
  <sheetViews>
    <sheetView tabSelected="1" workbookViewId="0" topLeftCell="A1">
      <selection activeCell="A1" sqref="A1"/>
    </sheetView>
  </sheetViews>
  <sheetFormatPr defaultColWidth="11.421875" defaultRowHeight="12.75"/>
  <cols>
    <col min="1" max="1" width="2.7109375" style="2" customWidth="1"/>
    <col min="2" max="2" width="4.7109375" style="2" customWidth="1"/>
    <col min="3" max="9" width="11.421875" style="2" customWidth="1"/>
    <col min="10" max="10" width="11.57421875" style="2" customWidth="1"/>
    <col min="11" max="16384" width="11.421875" style="2" customWidth="1"/>
  </cols>
  <sheetData>
    <row r="1" ht="18" customHeight="1"/>
    <row r="2" ht="11.25">
      <c r="G2" s="6"/>
    </row>
    <row r="3" ht="11.25">
      <c r="G3" s="6"/>
    </row>
    <row r="4" ht="11.25">
      <c r="G4" s="6"/>
    </row>
    <row r="5" ht="11.25">
      <c r="G5" s="6"/>
    </row>
    <row r="6" ht="11.25">
      <c r="G6" s="6"/>
    </row>
    <row r="7" ht="11.25">
      <c r="G7" s="6"/>
    </row>
    <row r="8" ht="11.25">
      <c r="G8" s="6"/>
    </row>
    <row r="19" spans="1:2" ht="11.25">
      <c r="A19" s="21"/>
      <c r="B19" s="21"/>
    </row>
    <row r="31" spans="3:10" ht="11.25">
      <c r="C31" s="21" t="s">
        <v>87</v>
      </c>
      <c r="J31" s="298" t="s">
        <v>248</v>
      </c>
    </row>
    <row r="32" spans="3:10" ht="11.25">
      <c r="C32" s="81" t="s">
        <v>88</v>
      </c>
      <c r="J32" s="299"/>
    </row>
    <row r="33" spans="5:10" ht="11.25">
      <c r="E33" s="21"/>
      <c r="F33" s="21"/>
      <c r="J33" s="300" t="s">
        <v>168</v>
      </c>
    </row>
    <row r="34" spans="3:10" ht="11.25">
      <c r="C34" s="195" t="s">
        <v>72</v>
      </c>
      <c r="D34" s="21"/>
      <c r="E34" s="21"/>
      <c r="F34" s="21"/>
      <c r="J34" s="300" t="s">
        <v>169</v>
      </c>
    </row>
    <row r="35" spans="3:10" ht="11.25">
      <c r="C35" s="81"/>
      <c r="D35" s="21"/>
      <c r="E35" s="6"/>
      <c r="F35" s="6"/>
      <c r="J35" s="300" t="s">
        <v>170</v>
      </c>
    </row>
    <row r="36" spans="3:10" ht="11.25">
      <c r="C36" s="21" t="s">
        <v>83</v>
      </c>
      <c r="D36" s="6" t="s">
        <v>84</v>
      </c>
      <c r="E36" s="6"/>
      <c r="F36" s="6"/>
      <c r="J36" s="300" t="s">
        <v>171</v>
      </c>
    </row>
    <row r="37" spans="3:10" ht="11.25">
      <c r="C37" s="21" t="s">
        <v>44</v>
      </c>
      <c r="D37" s="6" t="s">
        <v>79</v>
      </c>
      <c r="E37" s="6"/>
      <c r="F37" s="6"/>
      <c r="J37" s="300" t="s">
        <v>172</v>
      </c>
    </row>
    <row r="38" spans="3:10" ht="11.25">
      <c r="C38" s="21" t="s">
        <v>242</v>
      </c>
      <c r="D38" s="6" t="s">
        <v>26</v>
      </c>
      <c r="E38" s="6"/>
      <c r="F38" s="6"/>
      <c r="G38" s="6"/>
      <c r="J38" s="300" t="s">
        <v>159</v>
      </c>
    </row>
    <row r="39" spans="3:10" ht="11.25">
      <c r="C39" s="21" t="s">
        <v>55</v>
      </c>
      <c r="D39" s="6" t="s">
        <v>82</v>
      </c>
      <c r="E39" s="6"/>
      <c r="F39" s="6"/>
      <c r="G39" s="6"/>
      <c r="J39" s="300" t="s">
        <v>122</v>
      </c>
    </row>
    <row r="40" spans="3:10" ht="11.25">
      <c r="C40" s="21" t="s">
        <v>77</v>
      </c>
      <c r="D40" s="6" t="s">
        <v>78</v>
      </c>
      <c r="E40" s="6"/>
      <c r="F40" s="6"/>
      <c r="G40" s="6"/>
      <c r="J40" s="300" t="s">
        <v>63</v>
      </c>
    </row>
    <row r="41" spans="3:10" ht="11.25">
      <c r="C41" s="21" t="s">
        <v>85</v>
      </c>
      <c r="D41" s="6" t="s">
        <v>86</v>
      </c>
      <c r="E41" s="6"/>
      <c r="F41" s="6"/>
      <c r="G41" s="6"/>
      <c r="J41" s="300" t="s">
        <v>173</v>
      </c>
    </row>
    <row r="42" spans="3:7" ht="11.25">
      <c r="C42" s="21" t="s">
        <v>54</v>
      </c>
      <c r="D42" s="6" t="s">
        <v>81</v>
      </c>
      <c r="E42" s="6"/>
      <c r="F42" s="6"/>
      <c r="G42" s="6"/>
    </row>
    <row r="43" spans="3:7" ht="11.25">
      <c r="C43" s="21" t="s">
        <v>174</v>
      </c>
      <c r="D43" s="6" t="s">
        <v>175</v>
      </c>
      <c r="E43" s="6"/>
      <c r="F43" s="6"/>
      <c r="G43" s="6"/>
    </row>
    <row r="44" spans="3:7" ht="11.25">
      <c r="C44" s="21" t="s">
        <v>51</v>
      </c>
      <c r="D44" s="6" t="s">
        <v>80</v>
      </c>
      <c r="E44" s="6"/>
      <c r="F44" s="6"/>
      <c r="G44" s="6"/>
    </row>
    <row r="45" spans="3:7" ht="11.25">
      <c r="C45" s="21" t="s">
        <v>75</v>
      </c>
      <c r="D45" s="6" t="s">
        <v>76</v>
      </c>
      <c r="E45" s="6"/>
      <c r="F45" s="6"/>
      <c r="G45" s="6"/>
    </row>
    <row r="46" spans="3:7" ht="11.25">
      <c r="C46" s="21" t="s">
        <v>28</v>
      </c>
      <c r="D46" s="6" t="s">
        <v>73</v>
      </c>
      <c r="E46" s="6"/>
      <c r="F46" s="6"/>
      <c r="G46" s="6"/>
    </row>
    <row r="47" spans="3:7" ht="11.25">
      <c r="C47" s="21" t="s">
        <v>29</v>
      </c>
      <c r="D47" s="6" t="s">
        <v>74</v>
      </c>
      <c r="E47" s="6"/>
      <c r="F47" s="6"/>
      <c r="G47" s="6"/>
    </row>
    <row r="48" spans="4:6" ht="11.25">
      <c r="D48" s="6"/>
      <c r="E48" s="6"/>
      <c r="F48" s="6"/>
    </row>
    <row r="49" spans="5:6" ht="11.25">
      <c r="E49" s="82"/>
      <c r="F49" s="82"/>
    </row>
    <row r="52" ht="11.25">
      <c r="C52" s="130"/>
    </row>
    <row r="54" ht="11.25">
      <c r="C54" s="130"/>
    </row>
    <row r="55" ht="11.25">
      <c r="C55" s="130"/>
    </row>
  </sheetData>
  <hyperlinks>
    <hyperlink ref="J33" location="'Profils d''appel'!A1" display="Profils d'appels"/>
    <hyperlink ref="J34" location="'Profils d''appel'!A1" display="Tarif de détail FT"/>
    <hyperlink ref="J35" location="Recettes!A1" display="Recettes"/>
    <hyperlink ref="J36" location="'Tarifs d''interconnexion'!A1" display="Tarifs d'interconnexion"/>
    <hyperlink ref="J37" location="'Hypothèses coûts'!A1" display="Hypothèses coûts"/>
    <hyperlink ref="J38" location="'Coût collecte'!A1" display="Collecte"/>
    <hyperlink ref="J39" location="'Coût transport'!A1" display="Transport"/>
    <hyperlink ref="J40" location="'Coût terminaison'!A1" display="Terminaison"/>
    <hyperlink ref="J41" location="Restitution!A1" display="Restitution"/>
  </hyperlinks>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1:AI48"/>
  <sheetViews>
    <sheetView zoomScaleSheetLayoutView="100" workbookViewId="0" topLeftCell="A1">
      <pane xSplit="2" topLeftCell="C1" activePane="topRight" state="frozen"/>
      <selection pane="topLeft" activeCell="A1" sqref="A1"/>
      <selection pane="topRight" activeCell="A1" sqref="A1"/>
    </sheetView>
  </sheetViews>
  <sheetFormatPr defaultColWidth="11.421875" defaultRowHeight="12.75"/>
  <cols>
    <col min="1" max="1" width="2.7109375" style="6" customWidth="1"/>
    <col min="2" max="2" width="21.8515625" style="6" customWidth="1"/>
    <col min="3" max="3" width="1.7109375" style="21" customWidth="1"/>
    <col min="4" max="4" width="20.421875" style="6" customWidth="1"/>
    <col min="5" max="5" width="10.28125" style="6" customWidth="1"/>
    <col min="6" max="8" width="11.421875" style="6" customWidth="1"/>
    <col min="9" max="9" width="1.7109375" style="6" customWidth="1"/>
    <col min="10" max="12" width="11.421875" style="6" customWidth="1"/>
    <col min="13" max="13" width="1.7109375" style="6" customWidth="1"/>
    <col min="14" max="16" width="11.421875" style="6" customWidth="1"/>
    <col min="17" max="17" width="1.7109375" style="6" customWidth="1"/>
    <col min="18" max="20" width="11.421875" style="6" customWidth="1"/>
    <col min="21" max="21" width="1.7109375" style="6" customWidth="1"/>
    <col min="22" max="25" width="11.421875" style="6" customWidth="1"/>
    <col min="26" max="26" width="17.7109375" style="6" customWidth="1"/>
    <col min="27" max="16384" width="11.421875" style="6" customWidth="1"/>
  </cols>
  <sheetData>
    <row r="1" spans="2:25" ht="18" customHeight="1">
      <c r="B1" s="21"/>
      <c r="D1" s="21"/>
      <c r="E1" s="201" t="s">
        <v>30</v>
      </c>
      <c r="Y1" s="26"/>
    </row>
    <row r="2" spans="5:25" ht="11.25">
      <c r="E2" s="201" t="s">
        <v>31</v>
      </c>
      <c r="Y2" s="26"/>
    </row>
    <row r="3" spans="3:25" s="85" customFormat="1" ht="11.25">
      <c r="C3" s="21"/>
      <c r="E3" s="201" t="s">
        <v>150</v>
      </c>
      <c r="F3" s="340" t="s">
        <v>30</v>
      </c>
      <c r="G3" s="341"/>
      <c r="H3" s="341"/>
      <c r="I3" s="6"/>
      <c r="J3" s="342" t="s">
        <v>31</v>
      </c>
      <c r="K3" s="343"/>
      <c r="L3" s="343"/>
      <c r="M3" s="6"/>
      <c r="N3" s="344" t="s">
        <v>147</v>
      </c>
      <c r="O3" s="345"/>
      <c r="P3" s="345"/>
      <c r="Q3" s="6"/>
      <c r="R3" s="346" t="s">
        <v>148</v>
      </c>
      <c r="S3" s="347"/>
      <c r="T3" s="347"/>
      <c r="U3" s="6"/>
      <c r="V3" s="338" t="s">
        <v>149</v>
      </c>
      <c r="W3" s="339"/>
      <c r="X3" s="339"/>
      <c r="Y3" s="218"/>
    </row>
    <row r="4" spans="2:26" ht="39.75" customHeight="1">
      <c r="B4" s="6" t="s">
        <v>271</v>
      </c>
      <c r="D4" s="201">
        <v>1</v>
      </c>
      <c r="E4" s="201" t="s">
        <v>65</v>
      </c>
      <c r="F4" s="144" t="s">
        <v>11</v>
      </c>
      <c r="G4" s="231" t="s">
        <v>163</v>
      </c>
      <c r="H4" s="231" t="s">
        <v>164</v>
      </c>
      <c r="J4" s="144" t="s">
        <v>11</v>
      </c>
      <c r="K4" s="231" t="s">
        <v>163</v>
      </c>
      <c r="L4" s="231" t="s">
        <v>164</v>
      </c>
      <c r="N4" s="144" t="s">
        <v>11</v>
      </c>
      <c r="O4" s="231" t="s">
        <v>163</v>
      </c>
      <c r="P4" s="231" t="s">
        <v>164</v>
      </c>
      <c r="R4" s="144" t="s">
        <v>11</v>
      </c>
      <c r="S4" s="231" t="s">
        <v>163</v>
      </c>
      <c r="T4" s="231" t="s">
        <v>164</v>
      </c>
      <c r="V4" s="144" t="s">
        <v>11</v>
      </c>
      <c r="W4" s="231" t="s">
        <v>163</v>
      </c>
      <c r="X4" s="231" t="s">
        <v>164</v>
      </c>
      <c r="Y4" s="26"/>
      <c r="Z4" s="26"/>
    </row>
    <row r="5" spans="4:26" ht="16.5" customHeight="1">
      <c r="D5" s="201"/>
      <c r="E5" s="201" t="s">
        <v>32</v>
      </c>
      <c r="F5" s="145"/>
      <c r="G5" s="215"/>
      <c r="H5" s="215"/>
      <c r="J5" s="145"/>
      <c r="K5" s="215"/>
      <c r="L5" s="215"/>
      <c r="N5" s="145"/>
      <c r="O5" s="215"/>
      <c r="P5" s="215"/>
      <c r="R5" s="145"/>
      <c r="S5" s="215"/>
      <c r="T5" s="215"/>
      <c r="V5" s="145"/>
      <c r="W5" s="215"/>
      <c r="X5" s="215"/>
      <c r="Y5" s="26"/>
      <c r="Z5" s="26"/>
    </row>
    <row r="6" spans="2:26" ht="11.25">
      <c r="B6" s="122" t="s">
        <v>244</v>
      </c>
      <c r="D6" s="239">
        <f>VLOOKUP("Recette de base",B6:X6,id)</f>
        <v>3.5496999999999996</v>
      </c>
      <c r="E6" s="201">
        <v>1</v>
      </c>
      <c r="F6" s="237">
        <f>Recettes!O12</f>
        <v>3.5496999999999996</v>
      </c>
      <c r="G6" s="238">
        <f>Recettes!O16</f>
        <v>4.8385058823529405</v>
      </c>
      <c r="H6" s="194">
        <f>Recettes!O16</f>
        <v>4.8385058823529405</v>
      </c>
      <c r="J6" s="237">
        <f>Recettes!O23</f>
        <v>6.221771428571428</v>
      </c>
      <c r="K6" s="238">
        <f>Recettes!O27</f>
        <v>8.114904948704318</v>
      </c>
      <c r="L6" s="194">
        <f>Recettes!O27</f>
        <v>8.114904948704318</v>
      </c>
      <c r="N6" s="237">
        <f>Recettes!O34</f>
        <v>16.110714285714284</v>
      </c>
      <c r="O6" s="238">
        <f>Recettes!O38</f>
        <v>19</v>
      </c>
      <c r="P6" s="194">
        <f>Recettes!O38</f>
        <v>19</v>
      </c>
      <c r="R6" s="237">
        <f>Recettes!O34</f>
        <v>16.110714285714284</v>
      </c>
      <c r="S6" s="238">
        <f>Recettes!O38</f>
        <v>19</v>
      </c>
      <c r="T6" s="194">
        <f>Recettes!O38</f>
        <v>19</v>
      </c>
      <c r="V6" s="237">
        <f>Recettes!O45</f>
        <v>18.835714285714285</v>
      </c>
      <c r="W6" s="238">
        <f>Recettes!O49</f>
        <v>21.400000000000002</v>
      </c>
      <c r="X6" s="194">
        <f>Recettes!O49</f>
        <v>21.400000000000002</v>
      </c>
      <c r="Y6" s="26"/>
      <c r="Z6" s="26"/>
    </row>
    <row r="7" spans="4:26" ht="11.25" customHeight="1">
      <c r="D7" s="220"/>
      <c r="E7" s="201" t="s">
        <v>11</v>
      </c>
      <c r="G7" s="86"/>
      <c r="H7" s="86"/>
      <c r="K7" s="86"/>
      <c r="L7" s="86"/>
      <c r="O7" s="86"/>
      <c r="P7" s="86"/>
      <c r="S7" s="86"/>
      <c r="T7" s="86"/>
      <c r="W7" s="86"/>
      <c r="X7" s="86"/>
      <c r="Y7" s="26"/>
      <c r="Z7" s="26"/>
    </row>
    <row r="8" spans="2:26" ht="11.25">
      <c r="B8" s="251" t="s">
        <v>130</v>
      </c>
      <c r="D8" s="228"/>
      <c r="E8" s="201" t="s">
        <v>165</v>
      </c>
      <c r="F8" s="229"/>
      <c r="G8" s="230"/>
      <c r="H8" s="230"/>
      <c r="J8" s="229"/>
      <c r="K8" s="230"/>
      <c r="L8" s="230"/>
      <c r="N8" s="229"/>
      <c r="O8" s="230"/>
      <c r="P8" s="230"/>
      <c r="R8" s="229"/>
      <c r="S8" s="230"/>
      <c r="T8" s="230"/>
      <c r="V8" s="229"/>
      <c r="W8" s="230"/>
      <c r="X8" s="230"/>
      <c r="Y8" s="26"/>
      <c r="Z8" s="26"/>
    </row>
    <row r="9" spans="2:26" ht="11.25">
      <c r="B9" s="77" t="s">
        <v>157</v>
      </c>
      <c r="D9" s="240">
        <f>VLOOKUP("Charge à l'appel",B9:X9,id)</f>
        <v>0.037466375999999996</v>
      </c>
      <c r="E9" s="201" t="s">
        <v>166</v>
      </c>
      <c r="F9" s="68">
        <f>'Coût collecte'!I14</f>
        <v>0.037466375999999996</v>
      </c>
      <c r="G9" s="232">
        <f>'Coût collecte'!L14</f>
        <v>0.06396310588235293</v>
      </c>
      <c r="H9" s="67"/>
      <c r="J9" s="68">
        <f>'Coût collecte'!O14</f>
        <v>0.016996851428571425</v>
      </c>
      <c r="K9" s="232">
        <f>'Coût collecte'!R14</f>
        <v>0.050856479999999996</v>
      </c>
      <c r="L9" s="67"/>
      <c r="N9" s="68">
        <f>'Coût collecte'!U14</f>
        <v>0.07494642857142857</v>
      </c>
      <c r="O9" s="232">
        <f>'Coût collecte'!X14</f>
        <v>0.08479085714285714</v>
      </c>
      <c r="P9" s="67"/>
      <c r="R9" s="68">
        <f>'Coût collecte'!U14</f>
        <v>0.07494642857142857</v>
      </c>
      <c r="S9" s="232">
        <f>'Coût collecte'!X14</f>
        <v>0.08479085714285714</v>
      </c>
      <c r="T9" s="67"/>
      <c r="V9" s="68">
        <f>'Coût collecte'!U14</f>
        <v>0.07494642857142857</v>
      </c>
      <c r="W9" s="232">
        <f>'Coût collecte'!X14</f>
        <v>0.08479085714285714</v>
      </c>
      <c r="X9" s="67"/>
      <c r="Z9" s="26"/>
    </row>
    <row r="10" spans="2:26" ht="11.25">
      <c r="B10" s="77" t="s">
        <v>158</v>
      </c>
      <c r="D10" s="241">
        <f>VLOOKUP("Partie à la minute",B10:X10,id)</f>
        <v>0.4748034</v>
      </c>
      <c r="E10" s="201">
        <v>1</v>
      </c>
      <c r="F10" s="216">
        <f>'Coût collecte'!I17</f>
        <v>0.4748034</v>
      </c>
      <c r="G10" s="88">
        <f>'Coût collecte'!L17</f>
        <v>0.5269504</v>
      </c>
      <c r="H10" s="202"/>
      <c r="J10" s="216">
        <f>'Coût collecte'!O17</f>
        <v>0.426554</v>
      </c>
      <c r="K10" s="88">
        <f>'Coût collecte'!R17</f>
        <v>0.5240856</v>
      </c>
      <c r="L10" s="202"/>
      <c r="N10" s="216">
        <f>'Coût collecte'!U17</f>
        <v>0.49341499999999994</v>
      </c>
      <c r="O10" s="88">
        <f>'Coût collecte'!X17</f>
        <v>0.523082</v>
      </c>
      <c r="P10" s="202"/>
      <c r="R10" s="216">
        <f>'Coût collecte'!U17</f>
        <v>0.49341499999999994</v>
      </c>
      <c r="S10" s="88">
        <f>'Coût collecte'!X17</f>
        <v>0.523082</v>
      </c>
      <c r="T10" s="202"/>
      <c r="V10" s="216">
        <f>'Coût collecte'!U17</f>
        <v>0.49341499999999994</v>
      </c>
      <c r="W10" s="88">
        <f>'Coût collecte'!X17</f>
        <v>0.523082</v>
      </c>
      <c r="X10" s="202"/>
      <c r="Z10" s="26"/>
    </row>
    <row r="11" spans="2:26" ht="11.25">
      <c r="B11" s="77" t="s">
        <v>83</v>
      </c>
      <c r="D11" s="241">
        <f>VLOOKUP("BPN",B11:X11,id)</f>
        <v>0.10199515151515151</v>
      </c>
      <c r="E11" s="201">
        <f>4*(E6)+E10</f>
        <v>5</v>
      </c>
      <c r="F11" s="216">
        <f>coutBPN</f>
        <v>0.10199515151515151</v>
      </c>
      <c r="G11" s="88">
        <f>coutBPN</f>
        <v>0.10199515151515151</v>
      </c>
      <c r="H11" s="202"/>
      <c r="J11" s="216">
        <f>coutBPN</f>
        <v>0.10199515151515151</v>
      </c>
      <c r="K11" s="88">
        <f>coutBPN</f>
        <v>0.10199515151515151</v>
      </c>
      <c r="L11" s="202"/>
      <c r="N11" s="216">
        <f>coutBPN</f>
        <v>0.10199515151515151</v>
      </c>
      <c r="O11" s="88">
        <f>coutBPN</f>
        <v>0.10199515151515151</v>
      </c>
      <c r="P11" s="202"/>
      <c r="R11" s="216">
        <f>coutBPN</f>
        <v>0.10199515151515151</v>
      </c>
      <c r="S11" s="88">
        <f>coutBPN</f>
        <v>0.10199515151515151</v>
      </c>
      <c r="T11" s="202"/>
      <c r="V11" s="216">
        <f>coutBPN</f>
        <v>0.10199515151515151</v>
      </c>
      <c r="W11" s="88">
        <f>coutBPN</f>
        <v>0.10199515151515151</v>
      </c>
      <c r="X11" s="202"/>
      <c r="Z11" s="26"/>
    </row>
    <row r="12" spans="2:26" ht="11.25">
      <c r="B12" s="77" t="s">
        <v>245</v>
      </c>
      <c r="D12" s="241">
        <f>VLOOKUP("LRO",B12:X12,id)</f>
        <v>0.039809151515151506</v>
      </c>
      <c r="F12" s="216">
        <f>coutLRO</f>
        <v>0.039809151515151506</v>
      </c>
      <c r="G12" s="88">
        <f>coutLRO</f>
        <v>0.039809151515151506</v>
      </c>
      <c r="H12" s="202"/>
      <c r="J12" s="216">
        <f>coutLRO</f>
        <v>0.039809151515151506</v>
      </c>
      <c r="K12" s="88">
        <f>coutLRO</f>
        <v>0.039809151515151506</v>
      </c>
      <c r="L12" s="202"/>
      <c r="N12" s="216">
        <f>coutLRO</f>
        <v>0.039809151515151506</v>
      </c>
      <c r="O12" s="88">
        <f>coutLRO</f>
        <v>0.039809151515151506</v>
      </c>
      <c r="P12" s="202"/>
      <c r="R12" s="216">
        <f>coutLRO</f>
        <v>0.039809151515151506</v>
      </c>
      <c r="S12" s="88">
        <f>coutLRO</f>
        <v>0.039809151515151506</v>
      </c>
      <c r="T12" s="202"/>
      <c r="V12" s="216">
        <f>coutLRO</f>
        <v>0.039809151515151506</v>
      </c>
      <c r="W12" s="88">
        <f>coutLRO</f>
        <v>0.039809151515151506</v>
      </c>
      <c r="X12" s="202"/>
      <c r="Z12" s="26"/>
    </row>
    <row r="13" spans="2:26" ht="11.25">
      <c r="B13" s="252" t="s">
        <v>159</v>
      </c>
      <c r="D13" s="242">
        <f>VLOOKUP("Collecte",B13:X13,id)</f>
        <v>0.654074079030303</v>
      </c>
      <c r="F13" s="233">
        <f>SUM(F9:F12)</f>
        <v>0.654074079030303</v>
      </c>
      <c r="G13" s="234">
        <f>SUM(G9:G12)</f>
        <v>0.7327178089126559</v>
      </c>
      <c r="H13" s="235">
        <f>'Coût collecte'!F75</f>
        <v>0.07270072835555554</v>
      </c>
      <c r="J13" s="233">
        <f>SUM(J9:J12)</f>
        <v>0.5853551544588744</v>
      </c>
      <c r="K13" s="234">
        <f>SUM(K9:K12)</f>
        <v>0.716746383030303</v>
      </c>
      <c r="L13" s="235">
        <f>'Coût collecte'!F75</f>
        <v>0.07270072835555554</v>
      </c>
      <c r="N13" s="233">
        <f>SUM(N9:N12)</f>
        <v>0.7101657316017315</v>
      </c>
      <c r="O13" s="234">
        <f>SUM(O9:O12)</f>
        <v>0.7496771601731602</v>
      </c>
      <c r="P13" s="235">
        <f>'Coût collecte'!F75</f>
        <v>0.07270072835555554</v>
      </c>
      <c r="R13" s="233">
        <f>SUM(R9:R12)</f>
        <v>0.7101657316017315</v>
      </c>
      <c r="S13" s="234">
        <f>SUM(S9:S12)</f>
        <v>0.7496771601731602</v>
      </c>
      <c r="T13" s="235">
        <f>'Coût collecte'!F75</f>
        <v>0.07270072835555554</v>
      </c>
      <c r="V13" s="233">
        <f>SUM(V9:V12)</f>
        <v>0.7101657316017315</v>
      </c>
      <c r="W13" s="234">
        <f>SUM(W9:W12)</f>
        <v>0.7496771601731602</v>
      </c>
      <c r="X13" s="235">
        <f>'Coût collecte'!F75</f>
        <v>0.07270072835555554</v>
      </c>
      <c r="Z13" s="26"/>
    </row>
    <row r="14" spans="4:26" ht="6" customHeight="1">
      <c r="D14" s="221"/>
      <c r="F14" s="88"/>
      <c r="G14" s="88"/>
      <c r="H14" s="88"/>
      <c r="J14" s="88"/>
      <c r="K14" s="88"/>
      <c r="L14" s="88"/>
      <c r="N14" s="88"/>
      <c r="O14" s="88"/>
      <c r="P14" s="88"/>
      <c r="R14" s="88"/>
      <c r="S14" s="88"/>
      <c r="T14" s="88"/>
      <c r="V14" s="88"/>
      <c r="W14" s="88"/>
      <c r="X14" s="88"/>
      <c r="Z14" s="26"/>
    </row>
    <row r="15" spans="2:26" ht="11.25">
      <c r="B15" s="76" t="s">
        <v>126</v>
      </c>
      <c r="D15" s="240">
        <f>VLOOKUP("Partie à la minute",B15:X15,id)</f>
        <v>0.1</v>
      </c>
      <c r="F15" s="68">
        <f>'Coût transport'!I5</f>
        <v>0.1</v>
      </c>
      <c r="G15" s="232">
        <f>'Coût transport'!I5</f>
        <v>0.1</v>
      </c>
      <c r="H15" s="67">
        <f>'Coût transport'!I5</f>
        <v>0.1</v>
      </c>
      <c r="J15" s="68">
        <f>'Coût transport'!I6</f>
        <v>0.2</v>
      </c>
      <c r="K15" s="232">
        <f>'Coût transport'!I6</f>
        <v>0.2</v>
      </c>
      <c r="L15" s="67">
        <f>'Coût transport'!I6</f>
        <v>0.2</v>
      </c>
      <c r="N15" s="68">
        <f>'Coût transport'!I9</f>
        <v>0.125</v>
      </c>
      <c r="O15" s="232">
        <f>'Coût transport'!I9</f>
        <v>0.125</v>
      </c>
      <c r="P15" s="67">
        <f>'Coût transport'!I9</f>
        <v>0.125</v>
      </c>
      <c r="R15" s="68">
        <f>'Coût transport'!I9</f>
        <v>0.125</v>
      </c>
      <c r="S15" s="232">
        <f>'Coût transport'!I9</f>
        <v>0.125</v>
      </c>
      <c r="T15" s="67">
        <f>'Coût transport'!I9</f>
        <v>0.125</v>
      </c>
      <c r="V15" s="68">
        <f>'Coût transport'!I9</f>
        <v>0.125</v>
      </c>
      <c r="W15" s="232">
        <f>'Coût transport'!I9</f>
        <v>0.125</v>
      </c>
      <c r="X15" s="67">
        <f>'Coût transport'!I9</f>
        <v>0.125</v>
      </c>
      <c r="Z15" s="26"/>
    </row>
    <row r="16" spans="2:26" ht="11.25">
      <c r="B16" s="77" t="s">
        <v>138</v>
      </c>
      <c r="D16" s="241">
        <f>VLOOKUP("Transmission",B16:X16,id)</f>
        <v>0.16</v>
      </c>
      <c r="F16" s="216">
        <f>'Coût transport'!I15</f>
        <v>0.16</v>
      </c>
      <c r="G16" s="88">
        <f>'Coût transport'!I15</f>
        <v>0.16</v>
      </c>
      <c r="H16" s="202">
        <f>'Coût transport'!I15</f>
        <v>0.16</v>
      </c>
      <c r="J16" s="216">
        <f>'Coût transport'!I27</f>
        <v>0.19924963924963926</v>
      </c>
      <c r="K16" s="88">
        <f>'Coût transport'!I27</f>
        <v>0.19924963924963926</v>
      </c>
      <c r="L16" s="202">
        <f>'Coût transport'!I27</f>
        <v>0.19924963924963926</v>
      </c>
      <c r="N16" s="216">
        <f>'Coût transport'!I31</f>
        <v>0.1698124098124098</v>
      </c>
      <c r="O16" s="88">
        <f>'Coût transport'!I31</f>
        <v>0.1698124098124098</v>
      </c>
      <c r="P16" s="202">
        <f>'Coût transport'!I31</f>
        <v>0.1698124098124098</v>
      </c>
      <c r="R16" s="216">
        <f>'Coût transport'!I31</f>
        <v>0.1698124098124098</v>
      </c>
      <c r="S16" s="88">
        <f>'Coût transport'!I31</f>
        <v>0.1698124098124098</v>
      </c>
      <c r="T16" s="202">
        <f>'Coût transport'!I31</f>
        <v>0.1698124098124098</v>
      </c>
      <c r="V16" s="216">
        <f>'Coût transport'!I31</f>
        <v>0.1698124098124098</v>
      </c>
      <c r="W16" s="88">
        <f>'Coût transport'!I31</f>
        <v>0.1698124098124098</v>
      </c>
      <c r="X16" s="202">
        <f>'Coût transport'!I31</f>
        <v>0.1698124098124098</v>
      </c>
      <c r="Z16" s="26"/>
    </row>
    <row r="17" spans="2:26" ht="11.25">
      <c r="B17" s="252" t="s">
        <v>122</v>
      </c>
      <c r="D17" s="242">
        <f>VLOOKUP("Transport",B17:X17,id)</f>
        <v>0.26</v>
      </c>
      <c r="F17" s="233">
        <f aca="true" t="shared" si="0" ref="F17:X17">F15+F16</f>
        <v>0.26</v>
      </c>
      <c r="G17" s="234">
        <f t="shared" si="0"/>
        <v>0.26</v>
      </c>
      <c r="H17" s="235">
        <f t="shared" si="0"/>
        <v>0.26</v>
      </c>
      <c r="J17" s="233">
        <f t="shared" si="0"/>
        <v>0.3992496392496393</v>
      </c>
      <c r="K17" s="234">
        <f t="shared" si="0"/>
        <v>0.3992496392496393</v>
      </c>
      <c r="L17" s="235">
        <f t="shared" si="0"/>
        <v>0.3992496392496393</v>
      </c>
      <c r="N17" s="233">
        <f t="shared" si="0"/>
        <v>0.2948124098124098</v>
      </c>
      <c r="O17" s="234">
        <f t="shared" si="0"/>
        <v>0.2948124098124098</v>
      </c>
      <c r="P17" s="235">
        <f t="shared" si="0"/>
        <v>0.2948124098124098</v>
      </c>
      <c r="R17" s="233">
        <f>R15+R16</f>
        <v>0.2948124098124098</v>
      </c>
      <c r="S17" s="234">
        <f>S15+S16</f>
        <v>0.2948124098124098</v>
      </c>
      <c r="T17" s="235">
        <f>T15+T16</f>
        <v>0.2948124098124098</v>
      </c>
      <c r="V17" s="233">
        <f t="shared" si="0"/>
        <v>0.2948124098124098</v>
      </c>
      <c r="W17" s="234">
        <f t="shared" si="0"/>
        <v>0.2948124098124098</v>
      </c>
      <c r="X17" s="235">
        <f t="shared" si="0"/>
        <v>0.2948124098124098</v>
      </c>
      <c r="Z17" s="26"/>
    </row>
    <row r="18" spans="4:26" ht="6" customHeight="1">
      <c r="D18" s="221"/>
      <c r="F18" s="88"/>
      <c r="G18" s="88"/>
      <c r="H18" s="88"/>
      <c r="J18" s="88"/>
      <c r="K18" s="88"/>
      <c r="L18" s="88"/>
      <c r="N18" s="88"/>
      <c r="O18" s="88"/>
      <c r="P18" s="88"/>
      <c r="R18" s="88"/>
      <c r="S18" s="88"/>
      <c r="T18" s="88"/>
      <c r="V18" s="88"/>
      <c r="W18" s="88"/>
      <c r="X18" s="88"/>
      <c r="Z18" s="26"/>
    </row>
    <row r="19" spans="2:26" ht="11.25">
      <c r="B19" s="76" t="s">
        <v>157</v>
      </c>
      <c r="D19" s="240">
        <f>VLOOKUP("Charge à l'appel",B19:X19,id)</f>
        <v>0.037466375999999996</v>
      </c>
      <c r="F19" s="68">
        <f>F9</f>
        <v>0.037466375999999996</v>
      </c>
      <c r="G19" s="232">
        <f>G9</f>
        <v>0.06396310588235293</v>
      </c>
      <c r="H19" s="67">
        <f>'Coût terminaison'!L13</f>
        <v>0.06396310588235293</v>
      </c>
      <c r="J19" s="68">
        <f>J9</f>
        <v>0.016996851428571425</v>
      </c>
      <c r="K19" s="232">
        <f>K9</f>
        <v>0.050856479999999996</v>
      </c>
      <c r="L19" s="67">
        <f>'Coût terminaison'!R13</f>
        <v>0.050856479999999996</v>
      </c>
      <c r="N19" s="68"/>
      <c r="O19" s="232"/>
      <c r="P19" s="67"/>
      <c r="R19" s="68"/>
      <c r="S19" s="232"/>
      <c r="T19" s="67"/>
      <c r="V19" s="68"/>
      <c r="W19" s="232"/>
      <c r="X19" s="67"/>
      <c r="Z19" s="26"/>
    </row>
    <row r="20" spans="2:30" ht="11.25">
      <c r="B20" s="77" t="s">
        <v>158</v>
      </c>
      <c r="D20" s="241">
        <f>VLOOKUP("Partie à la minute",B20:X20,id)</f>
        <v>0.4748034</v>
      </c>
      <c r="F20" s="216">
        <f>F10</f>
        <v>0.4748034</v>
      </c>
      <c r="G20" s="88">
        <f>G10</f>
        <v>0.5269504</v>
      </c>
      <c r="H20" s="202">
        <f>'Coût terminaison'!L17</f>
        <v>0.5269504</v>
      </c>
      <c r="J20" s="216">
        <f>J10</f>
        <v>0.426554</v>
      </c>
      <c r="K20" s="88">
        <f>K10</f>
        <v>0.5240856</v>
      </c>
      <c r="L20" s="202">
        <f>'Coût terminaison'!R17</f>
        <v>0.5240856</v>
      </c>
      <c r="N20" s="216">
        <f>'Coût terminaison'!D28</f>
        <v>9.5</v>
      </c>
      <c r="O20" s="88">
        <f>'Coût terminaison'!D28</f>
        <v>9.5</v>
      </c>
      <c r="P20" s="202">
        <f>'Coût terminaison'!D28</f>
        <v>9.5</v>
      </c>
      <c r="R20" s="216">
        <f>'Coût terminaison'!D29</f>
        <v>9.5</v>
      </c>
      <c r="S20" s="88">
        <f>'Coût terminaison'!D29</f>
        <v>9.5</v>
      </c>
      <c r="T20" s="202">
        <f>'Coût terminaison'!D29</f>
        <v>9.5</v>
      </c>
      <c r="V20" s="216">
        <f>'Coût terminaison'!D30</f>
        <v>11.24</v>
      </c>
      <c r="W20" s="88">
        <f>'Coût terminaison'!D30</f>
        <v>11.24</v>
      </c>
      <c r="X20" s="202">
        <f>'Coût terminaison'!D30</f>
        <v>11.24</v>
      </c>
      <c r="Y20" s="26"/>
      <c r="Z20" s="26"/>
      <c r="AB20" s="42"/>
      <c r="AC20" s="42"/>
      <c r="AD20" s="42"/>
    </row>
    <row r="21" spans="2:30" ht="11.25">
      <c r="B21" s="77" t="s">
        <v>83</v>
      </c>
      <c r="D21" s="241">
        <f>VLOOKUP("BPN",B21:X21,id)</f>
        <v>0.10199515151515151</v>
      </c>
      <c r="F21" s="216">
        <f aca="true" t="shared" si="1" ref="F21:L21">coutBPN</f>
        <v>0.10199515151515151</v>
      </c>
      <c r="G21" s="88">
        <f t="shared" si="1"/>
        <v>0.10199515151515151</v>
      </c>
      <c r="H21" s="202">
        <f t="shared" si="1"/>
        <v>0.10199515151515151</v>
      </c>
      <c r="J21" s="216">
        <f t="shared" si="1"/>
        <v>0.10199515151515151</v>
      </c>
      <c r="K21" s="88">
        <f t="shared" si="1"/>
        <v>0.10199515151515151</v>
      </c>
      <c r="L21" s="202">
        <f t="shared" si="1"/>
        <v>0.10199515151515151</v>
      </c>
      <c r="N21" s="216">
        <f>'Coût terminaison'!G35</f>
        <v>0.1127878787878788</v>
      </c>
      <c r="O21" s="88">
        <f>'Coût terminaison'!G35</f>
        <v>0.1127878787878788</v>
      </c>
      <c r="P21" s="202">
        <f>'Coût terminaison'!G35</f>
        <v>0.1127878787878788</v>
      </c>
      <c r="R21" s="216">
        <f>'Coût terminaison'!G36</f>
        <v>0.1127878787878788</v>
      </c>
      <c r="S21" s="88">
        <f>'Coût terminaison'!G36</f>
        <v>0.1127878787878788</v>
      </c>
      <c r="T21" s="202">
        <f>'Coût terminaison'!G36</f>
        <v>0.1127878787878788</v>
      </c>
      <c r="V21" s="216">
        <f>'Coût terminaison'!G37</f>
        <v>0.1653939393939394</v>
      </c>
      <c r="W21" s="88">
        <f>'Coût terminaison'!G37</f>
        <v>0.1653939393939394</v>
      </c>
      <c r="X21" s="202">
        <f>'Coût terminaison'!G37</f>
        <v>0.1653939393939394</v>
      </c>
      <c r="Y21" s="26"/>
      <c r="Z21" s="26"/>
      <c r="AB21" s="42"/>
      <c r="AC21" s="42"/>
      <c r="AD21" s="42"/>
    </row>
    <row r="22" spans="2:30" ht="11.25">
      <c r="B22" s="77" t="s">
        <v>245</v>
      </c>
      <c r="D22" s="241">
        <f>VLOOKUP("LRO/Colocalisationl",B22:X22,id)</f>
        <v>0.039809151515151506</v>
      </c>
      <c r="F22" s="216">
        <f aca="true" t="shared" si="2" ref="F22:L22">coutLRO</f>
        <v>0.039809151515151506</v>
      </c>
      <c r="G22" s="88">
        <f t="shared" si="2"/>
        <v>0.039809151515151506</v>
      </c>
      <c r="H22" s="202">
        <f t="shared" si="2"/>
        <v>0.039809151515151506</v>
      </c>
      <c r="J22" s="216">
        <f t="shared" si="2"/>
        <v>0.039809151515151506</v>
      </c>
      <c r="K22" s="88">
        <f t="shared" si="2"/>
        <v>0.039809151515151506</v>
      </c>
      <c r="L22" s="202">
        <f t="shared" si="2"/>
        <v>0.039809151515151506</v>
      </c>
      <c r="N22" s="216">
        <f>'Coût terminaison'!H47</f>
        <v>0.08469393939393939</v>
      </c>
      <c r="O22" s="88">
        <f>'Coût terminaison'!H47</f>
        <v>0.08469393939393939</v>
      </c>
      <c r="P22" s="202">
        <f>'Coût terminaison'!H47</f>
        <v>0.08469393939393939</v>
      </c>
      <c r="R22" s="216">
        <f>'Coût terminaison'!H50</f>
        <v>0.08762020202020203</v>
      </c>
      <c r="S22" s="88">
        <f>'Coût terminaison'!H50</f>
        <v>0.08762020202020203</v>
      </c>
      <c r="T22" s="202">
        <f>'Coût terminaison'!H50</f>
        <v>0.08762020202020203</v>
      </c>
      <c r="V22" s="216">
        <f>'Coût terminaison'!H53</f>
        <v>0.12626060606060607</v>
      </c>
      <c r="W22" s="88">
        <f>'Coût terminaison'!H53</f>
        <v>0.12626060606060607</v>
      </c>
      <c r="X22" s="202">
        <f>'Coût terminaison'!H53</f>
        <v>0.12626060606060607</v>
      </c>
      <c r="Y22" s="26"/>
      <c r="Z22" s="26"/>
      <c r="AB22" s="42"/>
      <c r="AC22" s="42"/>
      <c r="AD22" s="42"/>
    </row>
    <row r="23" spans="2:30" ht="11.25">
      <c r="B23" s="77" t="s">
        <v>219</v>
      </c>
      <c r="D23" s="241">
        <f>VLOOKUP("Surcharge TA alternatifs",B23:X23,id)</f>
        <v>0.04625983</v>
      </c>
      <c r="F23" s="216">
        <f>'Coût terminaison'!I18-'Coût terminaison'!I17</f>
        <v>0.04625983</v>
      </c>
      <c r="G23" s="88">
        <f>'Coût terminaison'!L18-'Coût terminaison'!L17</f>
        <v>0.043652479999999994</v>
      </c>
      <c r="H23" s="202">
        <f>'Coût terminaison'!L18-'Coût terminaison'!L17</f>
        <v>0.043652479999999994</v>
      </c>
      <c r="J23" s="216">
        <f>'Coût terminaison'!O18-'Coût terminaison'!O17</f>
        <v>0.04867230000000006</v>
      </c>
      <c r="K23" s="88">
        <f>'Coût terminaison'!R18-'Coût terminaison'!R17</f>
        <v>0.04379572000000009</v>
      </c>
      <c r="L23" s="202">
        <f>'Coût terminaison'!R18-'Coût terminaison'!R17</f>
        <v>0.04379572000000009</v>
      </c>
      <c r="N23" s="216"/>
      <c r="O23" s="88"/>
      <c r="P23" s="202"/>
      <c r="R23" s="216"/>
      <c r="S23" s="88"/>
      <c r="T23" s="202"/>
      <c r="V23" s="216"/>
      <c r="W23" s="88"/>
      <c r="X23" s="202"/>
      <c r="Y23" s="26"/>
      <c r="Z23" s="26"/>
      <c r="AB23" s="42"/>
      <c r="AC23" s="42"/>
      <c r="AD23" s="42"/>
    </row>
    <row r="24" spans="2:30" ht="11.25">
      <c r="B24" s="252" t="s">
        <v>63</v>
      </c>
      <c r="D24" s="242">
        <f>VLOOKUP("Terminaison",B24:X24,id)</f>
        <v>0.700333909030303</v>
      </c>
      <c r="F24" s="236">
        <f aca="true" t="shared" si="3" ref="F24:X24">SUM(F19:F23)</f>
        <v>0.700333909030303</v>
      </c>
      <c r="G24" s="234">
        <f t="shared" si="3"/>
        <v>0.7763702889126559</v>
      </c>
      <c r="H24" s="235">
        <f t="shared" si="3"/>
        <v>0.7763702889126559</v>
      </c>
      <c r="J24" s="233">
        <f t="shared" si="3"/>
        <v>0.6340274544588744</v>
      </c>
      <c r="K24" s="234">
        <f t="shared" si="3"/>
        <v>0.7605421030303031</v>
      </c>
      <c r="L24" s="235">
        <f t="shared" si="3"/>
        <v>0.7605421030303031</v>
      </c>
      <c r="N24" s="233">
        <f t="shared" si="3"/>
        <v>9.697481818181819</v>
      </c>
      <c r="O24" s="234">
        <f t="shared" si="3"/>
        <v>9.697481818181819</v>
      </c>
      <c r="P24" s="235">
        <f t="shared" si="3"/>
        <v>9.697481818181819</v>
      </c>
      <c r="R24" s="233">
        <f t="shared" si="3"/>
        <v>9.700408080808081</v>
      </c>
      <c r="S24" s="234">
        <f t="shared" si="3"/>
        <v>9.700408080808081</v>
      </c>
      <c r="T24" s="235">
        <f t="shared" si="3"/>
        <v>9.700408080808081</v>
      </c>
      <c r="V24" s="233">
        <f t="shared" si="3"/>
        <v>11.531654545454545</v>
      </c>
      <c r="W24" s="234">
        <f t="shared" si="3"/>
        <v>11.531654545454545</v>
      </c>
      <c r="X24" s="235">
        <f t="shared" si="3"/>
        <v>11.531654545454545</v>
      </c>
      <c r="Y24" s="26"/>
      <c r="Z24" s="26"/>
      <c r="AB24" s="42"/>
      <c r="AC24" s="42"/>
      <c r="AD24" s="42"/>
    </row>
    <row r="25" spans="4:30" ht="6" customHeight="1">
      <c r="D25" s="221"/>
      <c r="F25" s="88"/>
      <c r="G25" s="88"/>
      <c r="H25" s="88"/>
      <c r="J25" s="88"/>
      <c r="K25" s="88"/>
      <c r="L25" s="88"/>
      <c r="N25" s="88"/>
      <c r="O25" s="88"/>
      <c r="P25" s="88"/>
      <c r="R25" s="88"/>
      <c r="S25" s="88"/>
      <c r="T25" s="88"/>
      <c r="V25" s="88"/>
      <c r="W25" s="88"/>
      <c r="X25" s="88"/>
      <c r="Y25" s="26"/>
      <c r="Z25" s="26"/>
      <c r="AB25" s="223"/>
      <c r="AC25" s="223"/>
      <c r="AD25" s="223"/>
    </row>
    <row r="26" spans="2:30" ht="11.25">
      <c r="B26" s="253" t="s">
        <v>155</v>
      </c>
      <c r="D26" s="243">
        <f>VLOOKUP("Service Universel",B26:X26,id)</f>
        <v>0.006034489999999999</v>
      </c>
      <c r="F26" s="281">
        <f aca="true" t="shared" si="4" ref="F26:X26">F6*Taux_SU</f>
        <v>0.006034489999999999</v>
      </c>
      <c r="G26" s="282">
        <f t="shared" si="4"/>
        <v>0.008225459999999999</v>
      </c>
      <c r="H26" s="283">
        <f t="shared" si="4"/>
        <v>0.008225459999999999</v>
      </c>
      <c r="I26" s="42"/>
      <c r="J26" s="281">
        <f t="shared" si="4"/>
        <v>0.010577011428571426</v>
      </c>
      <c r="K26" s="282">
        <f t="shared" si="4"/>
        <v>0.01379533841279734</v>
      </c>
      <c r="L26" s="283">
        <f t="shared" si="4"/>
        <v>0.01379533841279734</v>
      </c>
      <c r="M26" s="42"/>
      <c r="N26" s="281">
        <f t="shared" si="4"/>
        <v>0.02738821428571428</v>
      </c>
      <c r="O26" s="282">
        <f t="shared" si="4"/>
        <v>0.032299999999999995</v>
      </c>
      <c r="P26" s="283">
        <f t="shared" si="4"/>
        <v>0.032299999999999995</v>
      </c>
      <c r="Q26" s="42"/>
      <c r="R26" s="281">
        <f t="shared" si="4"/>
        <v>0.02738821428571428</v>
      </c>
      <c r="S26" s="282">
        <f t="shared" si="4"/>
        <v>0.032299999999999995</v>
      </c>
      <c r="T26" s="283">
        <f t="shared" si="4"/>
        <v>0.032299999999999995</v>
      </c>
      <c r="U26" s="42"/>
      <c r="V26" s="281">
        <f t="shared" si="4"/>
        <v>0.032020714285714284</v>
      </c>
      <c r="W26" s="282">
        <f t="shared" si="4"/>
        <v>0.03638</v>
      </c>
      <c r="X26" s="283">
        <f t="shared" si="4"/>
        <v>0.03638</v>
      </c>
      <c r="Y26" s="26"/>
      <c r="Z26" s="26"/>
      <c r="AB26" s="46"/>
      <c r="AC26" s="46"/>
      <c r="AD26" s="46"/>
    </row>
    <row r="27" spans="2:26" ht="11.25">
      <c r="B27" s="254" t="s">
        <v>98</v>
      </c>
      <c r="D27" s="244">
        <f>VLOOKUP("Coûts commerciaux",B27:X27,id)</f>
        <v>0.9</v>
      </c>
      <c r="F27" s="217">
        <f>'Hypothèses coûts'!D25</f>
        <v>0.9</v>
      </c>
      <c r="G27" s="95">
        <f>'Hypothèses coûts'!D25</f>
        <v>0.9</v>
      </c>
      <c r="H27" s="203">
        <f>'Hypothèses coûts'!D25</f>
        <v>0.9</v>
      </c>
      <c r="J27" s="217">
        <f>'Hypothèses coûts'!D26</f>
        <v>1.2</v>
      </c>
      <c r="K27" s="95">
        <f>'Hypothèses coûts'!D26</f>
        <v>1.2</v>
      </c>
      <c r="L27" s="203">
        <f>'Hypothèses coûts'!D26</f>
        <v>1.2</v>
      </c>
      <c r="N27" s="217">
        <f>'Hypothèses coûts'!D27</f>
        <v>2.6</v>
      </c>
      <c r="O27" s="95">
        <f>'Hypothèses coûts'!D27</f>
        <v>2.6</v>
      </c>
      <c r="P27" s="203">
        <f>'Hypothèses coûts'!D27</f>
        <v>2.6</v>
      </c>
      <c r="R27" s="217">
        <f>'Hypothèses coûts'!D27</f>
        <v>2.6</v>
      </c>
      <c r="S27" s="95">
        <f>'Hypothèses coûts'!D27</f>
        <v>2.6</v>
      </c>
      <c r="T27" s="203">
        <f>'Hypothèses coûts'!D27</f>
        <v>2.6</v>
      </c>
      <c r="V27" s="217">
        <f>'Hypothèses coûts'!D27</f>
        <v>2.6</v>
      </c>
      <c r="W27" s="95">
        <f>'Hypothèses coûts'!D27</f>
        <v>2.6</v>
      </c>
      <c r="X27" s="203">
        <f>'Hypothèses coûts'!D27</f>
        <v>2.6</v>
      </c>
      <c r="Y27" s="26"/>
      <c r="Z27" s="26"/>
    </row>
    <row r="28" spans="2:26" ht="11.25">
      <c r="B28" s="252" t="s">
        <v>154</v>
      </c>
      <c r="D28" s="242">
        <f>VLOOKUP("Coûts communs",B28:X28,id)</f>
        <v>0.0466413796</v>
      </c>
      <c r="F28" s="233">
        <f>(F17+F26+F27)*Taux_CCommun</f>
        <v>0.0466413796</v>
      </c>
      <c r="G28" s="234">
        <f>(G17+G26+G27)*Taux_CCommun</f>
        <v>0.046729018399999996</v>
      </c>
      <c r="H28" s="235">
        <f>(H13+H17+H26+H27)*Taux_CCommun</f>
        <v>0.049637047534222226</v>
      </c>
      <c r="J28" s="233">
        <f>(J17+J26+J27)*Taux_CCommun</f>
        <v>0.06439306602712842</v>
      </c>
      <c r="K28" s="234">
        <f>(K17+K26+K27)*Taux_CCommun</f>
        <v>0.06452179910649747</v>
      </c>
      <c r="L28" s="235">
        <f>(L13+L17+L26+L27)*Taux_CCommun</f>
        <v>0.06742982824071969</v>
      </c>
      <c r="N28" s="233">
        <f>(N17+N26+N27)*Taux_CCommun</f>
        <v>0.11688802496392497</v>
      </c>
      <c r="O28" s="234">
        <f>(O17+O26+O27)*Taux_CCommun</f>
        <v>0.1170844963924964</v>
      </c>
      <c r="P28" s="235">
        <f>(P13+P17+P26+P27)*Taux_CCommun</f>
        <v>0.11999252552671863</v>
      </c>
      <c r="R28" s="233">
        <f>(R17+R26+R27)*Taux_CCommun</f>
        <v>0.11688802496392497</v>
      </c>
      <c r="S28" s="234">
        <f>(S17+S26+S27)*Taux_CCommun</f>
        <v>0.1170844963924964</v>
      </c>
      <c r="T28" s="235">
        <f>(T13+T17+T26+T27)*Taux_CCommun</f>
        <v>0.11999252552671863</v>
      </c>
      <c r="V28" s="233">
        <f>(V17+V26+V27)*Taux_CCommun</f>
        <v>0.11707332496392496</v>
      </c>
      <c r="W28" s="234">
        <f>(W17+W26+W27)*Taux_CCommun</f>
        <v>0.11724769639249641</v>
      </c>
      <c r="X28" s="235">
        <f>(X13+X17+X26+X27)*Taux_CCommun</f>
        <v>0.12015572552671863</v>
      </c>
      <c r="Y28" s="26"/>
      <c r="Z28" s="26"/>
    </row>
    <row r="29" spans="4:26" ht="6" customHeight="1">
      <c r="D29" s="221"/>
      <c r="F29" s="88"/>
      <c r="G29" s="88"/>
      <c r="H29" s="88"/>
      <c r="J29" s="88"/>
      <c r="K29" s="88"/>
      <c r="L29" s="88"/>
      <c r="N29" s="88"/>
      <c r="O29" s="88"/>
      <c r="P29" s="88"/>
      <c r="R29" s="88"/>
      <c r="S29" s="88"/>
      <c r="T29" s="88"/>
      <c r="V29" s="88"/>
      <c r="W29" s="88"/>
      <c r="X29" s="88"/>
      <c r="Y29" s="26"/>
      <c r="Z29" s="26"/>
    </row>
    <row r="30" spans="2:26" ht="11.25">
      <c r="B30" s="122" t="s">
        <v>160</v>
      </c>
      <c r="D30" s="239">
        <f>VLOOKUP("Total Coûts",B30:X30,id)</f>
        <v>2.5670838576606063</v>
      </c>
      <c r="F30" s="237">
        <f>F13+F17+F24+F26+F27+F28</f>
        <v>2.5670838576606063</v>
      </c>
      <c r="G30" s="238">
        <f>G13+G17+G24+G26+G27+G28</f>
        <v>2.724042576225312</v>
      </c>
      <c r="H30" s="194">
        <f>H13+H17+H24+H26+H27+H28</f>
        <v>2.0669335248024336</v>
      </c>
      <c r="J30" s="237">
        <f>J13+J17+J24+J26+J27+J28</f>
        <v>2.893602325623088</v>
      </c>
      <c r="K30" s="238">
        <f>K13+K17+K24+K26+K27+K28</f>
        <v>3.15485526282954</v>
      </c>
      <c r="L30" s="194">
        <f>L13+L17+L24+L26+L27+L28</f>
        <v>2.5137176372890147</v>
      </c>
      <c r="N30" s="237">
        <f>N13+N17+N24+N26+N27+N28</f>
        <v>13.4467361988456</v>
      </c>
      <c r="O30" s="238">
        <f>O13+O17+O24+O26+O27+O28</f>
        <v>13.491355884559885</v>
      </c>
      <c r="P30" s="194">
        <f>P13+P17+P24+P26+P27+P28</f>
        <v>12.817287481876502</v>
      </c>
      <c r="R30" s="237">
        <f>R13+R17+R24+R26+R27+R28</f>
        <v>13.449662461471863</v>
      </c>
      <c r="S30" s="238">
        <f>S13+S17+S24+S26+S27+S28</f>
        <v>13.494282147186148</v>
      </c>
      <c r="T30" s="194">
        <f>T13+T17+T24+T26+T27+T28</f>
        <v>12.820213744502764</v>
      </c>
      <c r="V30" s="237">
        <f>V13+V17+V24+V26+V27+V28</f>
        <v>15.285726726118325</v>
      </c>
      <c r="W30" s="238">
        <f>W13+W17+W24+W26+W27+W28</f>
        <v>15.329771811832611</v>
      </c>
      <c r="X30" s="194">
        <f>X13+X17+X24+X26+X27+X28</f>
        <v>14.655703409149227</v>
      </c>
      <c r="Y30" s="26"/>
      <c r="Z30" s="26"/>
    </row>
    <row r="31" ht="11.25">
      <c r="C31" s="6"/>
    </row>
    <row r="32" ht="11.25" customHeight="1"/>
    <row r="33" spans="2:25" ht="11.25">
      <c r="B33" s="255" t="s">
        <v>161</v>
      </c>
      <c r="D33" s="246">
        <f>VLOOKUP("Marge",B33:X33,id)</f>
        <v>0.9826161423393933</v>
      </c>
      <c r="F33" s="247">
        <f>F6-F30</f>
        <v>0.9826161423393933</v>
      </c>
      <c r="G33" s="248">
        <f>G6-G30</f>
        <v>2.1144633061276283</v>
      </c>
      <c r="H33" s="249">
        <f>H6-H30</f>
        <v>2.771572357550507</v>
      </c>
      <c r="J33" s="247">
        <f>J6-J30</f>
        <v>3.3281691029483396</v>
      </c>
      <c r="K33" s="248">
        <f>K6-K30</f>
        <v>4.960049685874778</v>
      </c>
      <c r="L33" s="249">
        <f>L6-L30</f>
        <v>5.601187311415304</v>
      </c>
      <c r="N33" s="247">
        <f>N6-N30</f>
        <v>2.663978086868685</v>
      </c>
      <c r="O33" s="248">
        <f>O6-O30</f>
        <v>5.508644115440115</v>
      </c>
      <c r="P33" s="249">
        <f>P6-P30</f>
        <v>6.182712518123498</v>
      </c>
      <c r="R33" s="247">
        <f>R6-R30</f>
        <v>2.6610518242424206</v>
      </c>
      <c r="S33" s="248">
        <f>S6-S30</f>
        <v>5.505717852813852</v>
      </c>
      <c r="T33" s="249">
        <f>T6-T30</f>
        <v>6.179786255497236</v>
      </c>
      <c r="V33" s="247">
        <f>V6-V30</f>
        <v>3.5499875595959605</v>
      </c>
      <c r="W33" s="248">
        <f>W6-W30</f>
        <v>6.070228188167391</v>
      </c>
      <c r="X33" s="249">
        <f>X6-X30</f>
        <v>6.744296590850775</v>
      </c>
      <c r="Y33" s="26"/>
    </row>
    <row r="34" spans="2:25" ht="11.25">
      <c r="B34" s="256" t="s">
        <v>162</v>
      </c>
      <c r="D34" s="269">
        <f>VLOOKUP("Taux de marge",B34:X34,id)</f>
        <v>0.2768166724904621</v>
      </c>
      <c r="E34" s="270"/>
      <c r="F34" s="271">
        <f>F33/F6</f>
        <v>0.2768166724904621</v>
      </c>
      <c r="G34" s="272">
        <f>G33/G6</f>
        <v>0.43700748899356007</v>
      </c>
      <c r="H34" s="273">
        <f>H33/H6</f>
        <v>0.5728157462118668</v>
      </c>
      <c r="I34" s="274"/>
      <c r="J34" s="271">
        <f>J33/J6</f>
        <v>0.5349230747476231</v>
      </c>
      <c r="K34" s="272">
        <f>K33/K6</f>
        <v>0.6112270836476937</v>
      </c>
      <c r="L34" s="273">
        <f>L33/L6</f>
        <v>0.6902344940355251</v>
      </c>
      <c r="M34" s="274"/>
      <c r="N34" s="271">
        <f>N33/N6</f>
        <v>0.16535443678191794</v>
      </c>
      <c r="O34" s="277">
        <f>O33/O6</f>
        <v>0.28992863765474286</v>
      </c>
      <c r="P34" s="278">
        <f>P33/P6</f>
        <v>0.3254059220064999</v>
      </c>
      <c r="Q34" s="279"/>
      <c r="R34" s="280">
        <f>R33/R6</f>
        <v>0.16517280221411612</v>
      </c>
      <c r="S34" s="277">
        <f>S33/S6</f>
        <v>0.289774623832308</v>
      </c>
      <c r="T34" s="278">
        <f>T33/T6</f>
        <v>0.325251908184065</v>
      </c>
      <c r="U34" s="279"/>
      <c r="V34" s="280">
        <f>V33/V6</f>
        <v>0.18847108772978174</v>
      </c>
      <c r="W34" s="277">
        <f>W33/W6</f>
        <v>0.2836555228115603</v>
      </c>
      <c r="X34" s="278">
        <f>X33/X6</f>
        <v>0.31515404630143806</v>
      </c>
      <c r="Y34" s="177"/>
    </row>
    <row r="35" spans="2:25" ht="16.5" customHeight="1">
      <c r="B35" s="81"/>
      <c r="D35" s="275"/>
      <c r="E35" s="270"/>
      <c r="F35" s="276"/>
      <c r="G35" s="276"/>
      <c r="H35" s="276"/>
      <c r="I35" s="270"/>
      <c r="J35" s="276"/>
      <c r="K35" s="276"/>
      <c r="L35" s="276"/>
      <c r="M35" s="270"/>
      <c r="N35" s="276"/>
      <c r="O35" s="165"/>
      <c r="P35" s="165"/>
      <c r="R35" s="165"/>
      <c r="S35" s="165"/>
      <c r="T35" s="165"/>
      <c r="V35" s="165"/>
      <c r="W35" s="165"/>
      <c r="X35" s="165"/>
      <c r="Y35" s="26"/>
    </row>
    <row r="36" spans="2:25" ht="16.5" customHeight="1">
      <c r="B36" s="81"/>
      <c r="D36" s="225"/>
      <c r="F36" s="165"/>
      <c r="G36" s="165"/>
      <c r="H36" s="165"/>
      <c r="J36" s="165"/>
      <c r="K36" s="165"/>
      <c r="L36" s="165"/>
      <c r="N36" s="165"/>
      <c r="O36" s="165"/>
      <c r="P36" s="165"/>
      <c r="R36" s="165"/>
      <c r="S36" s="165"/>
      <c r="T36" s="165"/>
      <c r="V36" s="165"/>
      <c r="W36" s="165"/>
      <c r="X36" s="165"/>
      <c r="Y36" s="26"/>
    </row>
    <row r="37" spans="2:25" ht="16.5" customHeight="1">
      <c r="B37" s="81"/>
      <c r="D37" s="166"/>
      <c r="F37" s="165"/>
      <c r="G37" s="165"/>
      <c r="H37" s="165"/>
      <c r="J37" s="165"/>
      <c r="K37" s="165"/>
      <c r="L37" s="165"/>
      <c r="N37" s="165"/>
      <c r="O37" s="165"/>
      <c r="P37" s="165"/>
      <c r="R37" s="165"/>
      <c r="S37" s="165"/>
      <c r="T37" s="165"/>
      <c r="V37" s="165"/>
      <c r="W37" s="165"/>
      <c r="X37" s="165"/>
      <c r="Y37" s="26"/>
    </row>
    <row r="38" spans="2:25" ht="11.25">
      <c r="B38" s="122" t="s">
        <v>247</v>
      </c>
      <c r="D38" s="166"/>
      <c r="F38" s="165"/>
      <c r="G38" s="165"/>
      <c r="H38" s="165"/>
      <c r="J38" s="165"/>
      <c r="K38" s="165"/>
      <c r="L38" s="165"/>
      <c r="N38" s="165"/>
      <c r="O38" s="165"/>
      <c r="P38" s="165"/>
      <c r="R38" s="165"/>
      <c r="S38" s="165"/>
      <c r="T38" s="165"/>
      <c r="V38" s="165"/>
      <c r="W38" s="165"/>
      <c r="X38" s="165"/>
      <c r="Y38" s="26"/>
    </row>
    <row r="39" spans="2:25" ht="11.25">
      <c r="B39" s="254" t="s">
        <v>98</v>
      </c>
      <c r="D39" s="222">
        <f>VLOOKUP("Coûts commerciaux",B39:X39,id)</f>
        <v>0</v>
      </c>
      <c r="F39" s="165"/>
      <c r="G39" s="68">
        <f>G27*'Hypothèses coûts'!$D28</f>
        <v>0.36000000000000004</v>
      </c>
      <c r="H39" s="67">
        <f>H27*'Hypothèses coûts'!$D28</f>
        <v>0.36000000000000004</v>
      </c>
      <c r="J39" s="95"/>
      <c r="K39" s="68">
        <f>K27*'Hypothèses coûts'!$D28</f>
        <v>0.48</v>
      </c>
      <c r="L39" s="67">
        <f>L27*'Hypothèses coûts'!$D28</f>
        <v>0.48</v>
      </c>
      <c r="N39" s="165"/>
      <c r="O39" s="68">
        <f>O27*'Hypothèses coûts'!$D28</f>
        <v>1.04</v>
      </c>
      <c r="P39" s="67">
        <f>P27*'Hypothèses coûts'!$D28</f>
        <v>1.04</v>
      </c>
      <c r="R39" s="165"/>
      <c r="S39" s="68">
        <f>S27*'Hypothèses coûts'!$D28</f>
        <v>1.04</v>
      </c>
      <c r="T39" s="67">
        <f>T27*'Hypothèses coûts'!$D28</f>
        <v>1.04</v>
      </c>
      <c r="V39" s="165"/>
      <c r="W39" s="68">
        <f>W27*'Hypothèses coûts'!$D28</f>
        <v>1.04</v>
      </c>
      <c r="X39" s="67">
        <f>X27*'Hypothèses coûts'!$D28</f>
        <v>1.04</v>
      </c>
      <c r="Y39" s="26"/>
    </row>
    <row r="40" spans="2:25" ht="11.25">
      <c r="B40" s="252" t="s">
        <v>154</v>
      </c>
      <c r="D40" s="222">
        <f>VLOOKUP("Coûts communs",B40:X40,id)</f>
        <v>0</v>
      </c>
      <c r="F40" s="165"/>
      <c r="G40" s="250">
        <f>(G17+G26+G39)*Taux_CCommun</f>
        <v>0.025129018400000005</v>
      </c>
      <c r="H40" s="70">
        <f>(H17+H26+H39)*Taux_CCommun</f>
        <v>0.025129018400000005</v>
      </c>
      <c r="J40" s="95"/>
      <c r="K40" s="250">
        <f>(K17+K26+K39)*Taux_CCommun</f>
        <v>0.03572179910649747</v>
      </c>
      <c r="L40" s="70">
        <f>(L17+L26+L39)*Taux_CCommun</f>
        <v>0.03572179910649747</v>
      </c>
      <c r="N40" s="165"/>
      <c r="O40" s="250">
        <f>(O17+O26+O39)*Taux_CCommun</f>
        <v>0.054684496392496396</v>
      </c>
      <c r="P40" s="70">
        <f>(P17+P26+P39)*Taux_CCommun</f>
        <v>0.054684496392496396</v>
      </c>
      <c r="R40" s="165"/>
      <c r="S40" s="250">
        <f>(S17+S26+S39)*Taux_CCommun</f>
        <v>0.054684496392496396</v>
      </c>
      <c r="T40" s="70">
        <f>(T17+T26+T39)*Taux_CCommun</f>
        <v>0.054684496392496396</v>
      </c>
      <c r="V40" s="165"/>
      <c r="W40" s="250">
        <f>(W17+W26+W39)*Taux_CCommun</f>
        <v>0.0548476963924964</v>
      </c>
      <c r="X40" s="70">
        <f>(X17+X26+X39)*Taux_CCommun</f>
        <v>0.0548476963924964</v>
      </c>
      <c r="Y40" s="26"/>
    </row>
    <row r="41" spans="2:25" ht="6" customHeight="1">
      <c r="B41" s="21"/>
      <c r="D41" s="222"/>
      <c r="F41" s="165"/>
      <c r="G41" s="88"/>
      <c r="H41" s="88"/>
      <c r="J41" s="95"/>
      <c r="K41" s="88"/>
      <c r="L41" s="88"/>
      <c r="N41" s="165"/>
      <c r="O41" s="88"/>
      <c r="P41" s="88"/>
      <c r="R41" s="165"/>
      <c r="S41" s="88"/>
      <c r="T41" s="88"/>
      <c r="V41" s="165"/>
      <c r="W41" s="88"/>
      <c r="X41" s="88"/>
      <c r="Y41" s="26"/>
    </row>
    <row r="42" spans="2:25" ht="11.25">
      <c r="B42" s="122" t="s">
        <v>160</v>
      </c>
      <c r="D42" s="219">
        <f>VLOOKUP("Total Coûts",B42:X42,id)</f>
        <v>0</v>
      </c>
      <c r="F42" s="165"/>
      <c r="G42" s="237">
        <f>G13+G17+G24+G26+G39+G40</f>
        <v>2.162442576225312</v>
      </c>
      <c r="H42" s="194">
        <f>H13+H17+H24+H26+H39+H40</f>
        <v>1.5024254956682115</v>
      </c>
      <c r="J42" s="165"/>
      <c r="K42" s="237">
        <f>K13+K17+K24+K26+K39+K40</f>
        <v>2.40605526282954</v>
      </c>
      <c r="L42" s="194">
        <f>L13+L17+L24+L26+L39+L40</f>
        <v>1.7620096081547927</v>
      </c>
      <c r="N42" s="165"/>
      <c r="O42" s="237">
        <f>O13+O17+O24+O26+O39+O40</f>
        <v>11.868955884559885</v>
      </c>
      <c r="P42" s="194">
        <f>P13+P17+P24+P26+P39+P40</f>
        <v>11.191979452742281</v>
      </c>
      <c r="R42" s="165"/>
      <c r="S42" s="237">
        <f>S13+S17+S24+S26+S39+S40</f>
        <v>11.871882147186149</v>
      </c>
      <c r="T42" s="194">
        <f>T13+T17+T24+T26+T39+T40</f>
        <v>11.194905715368542</v>
      </c>
      <c r="V42" s="165"/>
      <c r="W42" s="237">
        <f>W13+W17+W24+W26+W39+W40</f>
        <v>13.707371811832612</v>
      </c>
      <c r="X42" s="194">
        <f>X13+X17+X24+X26+X39+X40</f>
        <v>13.030395380015005</v>
      </c>
      <c r="Y42" s="26"/>
    </row>
    <row r="43" ht="11.25">
      <c r="C43" s="6"/>
    </row>
    <row r="44" ht="11.25" customHeight="1">
      <c r="C44" s="6"/>
    </row>
    <row r="45" spans="2:25" ht="11.25">
      <c r="B45" s="255" t="s">
        <v>161</v>
      </c>
      <c r="D45" s="224">
        <f>VLOOKUP("Marge",B45:X45,id)</f>
        <v>0</v>
      </c>
      <c r="F45" s="165"/>
      <c r="G45" s="247">
        <f>G6-G42</f>
        <v>2.6760633061276287</v>
      </c>
      <c r="H45" s="249">
        <f>H6-H42</f>
        <v>3.336080386684729</v>
      </c>
      <c r="J45" s="165"/>
      <c r="K45" s="247">
        <f>K6-K42</f>
        <v>5.708849685874778</v>
      </c>
      <c r="L45" s="249">
        <f>L6-L42</f>
        <v>6.352895340549525</v>
      </c>
      <c r="N45" s="165"/>
      <c r="O45" s="247">
        <f>O6-O42</f>
        <v>7.131044115440115</v>
      </c>
      <c r="P45" s="249">
        <f>P6-P42</f>
        <v>7.808020547257719</v>
      </c>
      <c r="R45" s="165"/>
      <c r="S45" s="247">
        <f>S6-S42</f>
        <v>7.128117852813851</v>
      </c>
      <c r="T45" s="249">
        <f>T6-T42</f>
        <v>7.805094284631458</v>
      </c>
      <c r="V45" s="165"/>
      <c r="W45" s="247">
        <f>W6-W42</f>
        <v>7.69262818816739</v>
      </c>
      <c r="X45" s="249">
        <f>X6-X42</f>
        <v>8.369604619984997</v>
      </c>
      <c r="Y45" s="26"/>
    </row>
    <row r="46" spans="2:35" ht="11.25">
      <c r="B46" s="256" t="s">
        <v>162</v>
      </c>
      <c r="D46" s="297">
        <f>VLOOKUP("Taux de marge",B46:X46,id)</f>
        <v>0</v>
      </c>
      <c r="F46" s="165"/>
      <c r="G46" s="280">
        <f>G45/G6</f>
        <v>0.5530763775420425</v>
      </c>
      <c r="H46" s="278">
        <f>H45/H6</f>
        <v>0.6894856527615526</v>
      </c>
      <c r="I46" s="279"/>
      <c r="J46" s="197"/>
      <c r="K46" s="280">
        <f>K45/K6</f>
        <v>0.7035017319317206</v>
      </c>
      <c r="L46" s="278">
        <f>L45/L6</f>
        <v>0.7828674988440711</v>
      </c>
      <c r="M46" s="279"/>
      <c r="N46" s="197"/>
      <c r="O46" s="280">
        <f>O45/O6</f>
        <v>0.37531811133895343</v>
      </c>
      <c r="P46" s="278">
        <f>P45/P6</f>
        <v>0.4109484498556694</v>
      </c>
      <c r="Q46" s="279"/>
      <c r="R46" s="197"/>
      <c r="S46" s="280">
        <f>S45/S6</f>
        <v>0.37516409751651847</v>
      </c>
      <c r="T46" s="278">
        <f>T45/T6</f>
        <v>0.4107944360332347</v>
      </c>
      <c r="U46" s="279"/>
      <c r="V46" s="197"/>
      <c r="W46" s="280">
        <f>W45/W6</f>
        <v>0.3594686069237098</v>
      </c>
      <c r="X46" s="278">
        <f>X45/X6</f>
        <v>0.3911030196254671</v>
      </c>
      <c r="Y46" s="245"/>
      <c r="Z46" s="245"/>
      <c r="AA46" s="245"/>
      <c r="AB46" s="245"/>
      <c r="AC46" s="245"/>
      <c r="AD46" s="245"/>
      <c r="AE46" s="245"/>
      <c r="AF46" s="245"/>
      <c r="AG46" s="245"/>
      <c r="AH46" s="245"/>
      <c r="AI46" s="245"/>
    </row>
    <row r="47" spans="2:26" ht="11.25">
      <c r="B47" s="81"/>
      <c r="F47" s="165"/>
      <c r="G47" s="165"/>
      <c r="H47" s="165"/>
      <c r="J47" s="165"/>
      <c r="K47" s="165"/>
      <c r="L47" s="165"/>
      <c r="N47" s="165"/>
      <c r="O47" s="165"/>
      <c r="P47" s="165"/>
      <c r="R47" s="165"/>
      <c r="S47" s="165"/>
      <c r="T47" s="165"/>
      <c r="V47" s="165"/>
      <c r="W47" s="165"/>
      <c r="X47" s="165"/>
      <c r="Y47" s="26"/>
      <c r="Z47" s="166"/>
    </row>
    <row r="48" ht="11.25">
      <c r="Y48" s="26"/>
    </row>
  </sheetData>
  <mergeCells count="5">
    <mergeCell ref="V3:X3"/>
    <mergeCell ref="F3:H3"/>
    <mergeCell ref="J3:L3"/>
    <mergeCell ref="N3:P3"/>
    <mergeCell ref="R3:T3"/>
  </mergeCells>
  <conditionalFormatting sqref="D42">
    <cfRule type="cellIs" priority="1" dxfId="0" operator="equal" stopIfTrue="1">
      <formula>0</formula>
    </cfRule>
    <cfRule type="cellIs" priority="2" dxfId="1" operator="notEqual" stopIfTrue="1">
      <formula>0</formula>
    </cfRule>
  </conditionalFormatting>
  <conditionalFormatting sqref="D45">
    <cfRule type="cellIs" priority="3" dxfId="0" operator="equal" stopIfTrue="1">
      <formula>0</formula>
    </cfRule>
    <cfRule type="cellIs" priority="4" dxfId="2" operator="notEqual" stopIfTrue="1">
      <formula>0</formula>
    </cfRule>
  </conditionalFormatting>
  <conditionalFormatting sqref="D46">
    <cfRule type="cellIs" priority="5" dxfId="0" operator="equal" stopIfTrue="1">
      <formula>0</formula>
    </cfRule>
    <cfRule type="cellIs" priority="6" dxfId="3" operator="notEqual" stopIfTrue="1">
      <formula>0</formula>
    </cfRule>
  </conditionalFormatting>
  <conditionalFormatting sqref="D39">
    <cfRule type="cellIs" priority="7" dxfId="0" operator="equal" stopIfTrue="1">
      <formula>0</formula>
    </cfRule>
    <cfRule type="cellIs" priority="8" dxfId="4" operator="notEqual" stopIfTrue="1">
      <formula>0</formula>
    </cfRule>
  </conditionalFormatting>
  <conditionalFormatting sqref="D40">
    <cfRule type="cellIs" priority="9" dxfId="0" operator="equal" stopIfTrue="1">
      <formula>0</formula>
    </cfRule>
    <cfRule type="cellIs" priority="10" dxfId="5" operator="notEqual" stopIfTrue="1">
      <formula>0</formula>
    </cfRule>
  </conditionalFormatting>
  <conditionalFormatting sqref="B38">
    <cfRule type="cellIs" priority="11" dxfId="6" operator="notEqual" stopIfTrue="1">
      <formula>0</formula>
    </cfRule>
    <cfRule type="cellIs" priority="12" dxfId="0" operator="equal" stopIfTrue="1">
      <formula>0</formula>
    </cfRule>
  </conditionalFormatting>
  <printOptions/>
  <pageMargins left="0.75" right="0.75" top="1" bottom="1" header="0.4921259845" footer="0.4921259845"/>
  <pageSetup fitToHeight="1" fitToWidth="1" horizontalDpi="600" verticalDpi="600" orientation="landscape" paperSize="9" scale="95" r:id="rId2"/>
  <legacyDrawing r:id="rId1"/>
</worksheet>
</file>

<file path=xl/worksheets/sheet2.xml><?xml version="1.0" encoding="utf-8"?>
<worksheet xmlns="http://schemas.openxmlformats.org/spreadsheetml/2006/main" xmlns:r="http://schemas.openxmlformats.org/officeDocument/2006/relationships">
  <dimension ref="A2:N45"/>
  <sheetViews>
    <sheetView workbookViewId="0" topLeftCell="A1">
      <selection activeCell="A1" sqref="A1"/>
    </sheetView>
  </sheetViews>
  <sheetFormatPr defaultColWidth="11.421875" defaultRowHeight="12.75"/>
  <cols>
    <col min="1" max="1" width="2.7109375" style="1" customWidth="1"/>
    <col min="2" max="2" width="4.7109375" style="1" customWidth="1"/>
    <col min="3" max="3" width="20.8515625" style="1" customWidth="1"/>
    <col min="4" max="4" width="16.28125" style="1" customWidth="1"/>
    <col min="5" max="5" width="11.421875" style="1" customWidth="1"/>
    <col min="6" max="6" width="2.7109375" style="1" customWidth="1"/>
    <col min="7" max="7" width="19.8515625" style="1" customWidth="1"/>
    <col min="8" max="8" width="11.421875" style="1" customWidth="1"/>
    <col min="9" max="9" width="11.28125" style="1" customWidth="1"/>
    <col min="10" max="10" width="2.140625" style="1" customWidth="1"/>
    <col min="11" max="11" width="14.57421875" style="1" customWidth="1"/>
    <col min="12" max="12" width="13.7109375" style="1" customWidth="1"/>
    <col min="13" max="13" width="14.140625" style="1" customWidth="1"/>
    <col min="14" max="16384" width="11.421875" style="1" customWidth="1"/>
  </cols>
  <sheetData>
    <row r="1" ht="18" customHeight="1"/>
    <row r="2" spans="1:13" ht="12.75">
      <c r="A2" s="23"/>
      <c r="B2" s="124"/>
      <c r="C2" s="3" t="s">
        <v>0</v>
      </c>
      <c r="D2" s="3"/>
      <c r="E2" s="4"/>
      <c r="F2" s="4"/>
      <c r="G2" s="4"/>
      <c r="H2" s="5"/>
      <c r="I2" s="5"/>
      <c r="J2" s="4"/>
      <c r="K2" s="5"/>
      <c r="L2" s="5"/>
      <c r="M2" s="5"/>
    </row>
    <row r="3" spans="1:9" ht="12.75">
      <c r="A3" s="23"/>
      <c r="B3" s="21"/>
      <c r="C3" s="6"/>
      <c r="D3" s="6"/>
      <c r="E3" s="6"/>
      <c r="F3" s="6"/>
      <c r="G3" s="6"/>
      <c r="H3" s="6"/>
      <c r="I3" s="6"/>
    </row>
    <row r="4" spans="1:9" ht="12.75">
      <c r="A4" s="23"/>
      <c r="B4" s="6"/>
      <c r="C4" s="326" t="s">
        <v>1</v>
      </c>
      <c r="D4" s="7" t="s">
        <v>2</v>
      </c>
      <c r="E4" s="7" t="s">
        <v>3</v>
      </c>
      <c r="F4" s="8"/>
      <c r="G4" s="7" t="s">
        <v>4</v>
      </c>
      <c r="H4" s="9" t="s">
        <v>5</v>
      </c>
      <c r="I4" s="10"/>
    </row>
    <row r="5" spans="1:9" ht="12.75">
      <c r="A5" s="23"/>
      <c r="B5" s="23"/>
      <c r="C5" s="327"/>
      <c r="D5" s="11" t="s">
        <v>6</v>
      </c>
      <c r="E5" s="11" t="s">
        <v>7</v>
      </c>
      <c r="F5" s="8"/>
      <c r="G5" s="12" t="s">
        <v>8</v>
      </c>
      <c r="H5" s="13" t="s">
        <v>3</v>
      </c>
      <c r="I5" s="14" t="s">
        <v>9</v>
      </c>
    </row>
    <row r="6" spans="1:9" ht="12.75">
      <c r="A6" s="23"/>
      <c r="B6" s="23"/>
      <c r="D6" s="15"/>
      <c r="E6" s="15"/>
      <c r="F6" s="2"/>
      <c r="G6" s="11" t="s">
        <v>7</v>
      </c>
      <c r="H6" s="16" t="s">
        <v>7</v>
      </c>
      <c r="I6" s="17" t="s">
        <v>10</v>
      </c>
    </row>
    <row r="7" spans="1:9" ht="12.75">
      <c r="A7" s="23"/>
      <c r="B7" s="23"/>
      <c r="D7" s="15"/>
      <c r="E7" s="15"/>
      <c r="F7" s="2"/>
      <c r="G7" s="18"/>
      <c r="H7" s="18"/>
      <c r="I7" s="18"/>
    </row>
    <row r="8" spans="1:13" ht="3.75" customHeight="1">
      <c r="A8" s="23"/>
      <c r="B8" s="23"/>
      <c r="C8" s="19"/>
      <c r="D8" s="20"/>
      <c r="E8" s="20"/>
      <c r="F8" s="20"/>
      <c r="G8" s="20"/>
      <c r="H8" s="20"/>
      <c r="I8" s="20"/>
      <c r="J8" s="20"/>
      <c r="K8" s="20"/>
      <c r="L8" s="20"/>
      <c r="M8" s="20"/>
    </row>
    <row r="9" spans="1:9" ht="12.75" customHeight="1">
      <c r="A9" s="23"/>
      <c r="B9" s="23"/>
      <c r="D9" s="196" t="s">
        <v>18</v>
      </c>
      <c r="E9" s="34"/>
      <c r="I9" s="23"/>
    </row>
    <row r="10" spans="1:13" ht="12.75" customHeight="1">
      <c r="A10" s="23"/>
      <c r="B10" s="23"/>
      <c r="C10" s="21" t="s">
        <v>11</v>
      </c>
      <c r="D10" s="15"/>
      <c r="E10" s="15"/>
      <c r="F10" s="2"/>
      <c r="G10" s="18"/>
      <c r="H10" s="18"/>
      <c r="I10" s="18"/>
      <c r="K10" s="328" t="s">
        <v>108</v>
      </c>
      <c r="L10" s="328" t="s">
        <v>109</v>
      </c>
      <c r="M10" s="328" t="s">
        <v>110</v>
      </c>
    </row>
    <row r="11" spans="1:13" ht="12.75">
      <c r="A11" s="23"/>
      <c r="B11" s="23"/>
      <c r="C11" s="22" t="s">
        <v>12</v>
      </c>
      <c r="D11" s="175">
        <v>0.53</v>
      </c>
      <c r="E11" s="140">
        <v>200</v>
      </c>
      <c r="F11" s="2"/>
      <c r="G11" s="7" t="s">
        <v>13</v>
      </c>
      <c r="K11" s="328"/>
      <c r="L11" s="328"/>
      <c r="M11" s="328"/>
    </row>
    <row r="12" spans="1:13" ht="12.75">
      <c r="A12" s="23"/>
      <c r="B12" s="23"/>
      <c r="C12" s="24" t="s">
        <v>14</v>
      </c>
      <c r="D12" s="176">
        <f>1-D11</f>
        <v>0.47</v>
      </c>
      <c r="E12" s="141">
        <v>250</v>
      </c>
      <c r="F12" s="2"/>
      <c r="G12" s="11">
        <v>0</v>
      </c>
      <c r="K12" s="139">
        <v>1</v>
      </c>
      <c r="L12" s="139">
        <v>0.95</v>
      </c>
      <c r="M12" s="185">
        <f>1-(L12)</f>
        <v>0.050000000000000044</v>
      </c>
    </row>
    <row r="13" spans="1:12" ht="14.25" customHeight="1">
      <c r="A13" s="23"/>
      <c r="B13" s="23"/>
      <c r="C13" s="25" t="s">
        <v>15</v>
      </c>
      <c r="D13" s="41">
        <f>SUM(D11:D12)</f>
        <v>1</v>
      </c>
      <c r="E13" s="40">
        <f>1/(D11/E11+D12/E12)</f>
        <v>220.7505518763797</v>
      </c>
      <c r="F13" s="2"/>
      <c r="G13" s="23"/>
      <c r="H13" s="23"/>
      <c r="K13" s="26"/>
      <c r="L13" s="23"/>
    </row>
    <row r="14" spans="1:12" ht="12.75">
      <c r="A14" s="23"/>
      <c r="B14" s="23"/>
      <c r="C14" s="27"/>
      <c r="D14" s="177"/>
      <c r="E14" s="125"/>
      <c r="F14" s="26"/>
      <c r="G14" s="23"/>
      <c r="H14" s="23"/>
      <c r="K14" s="27"/>
      <c r="L14" s="28"/>
    </row>
    <row r="15" spans="1:13" ht="12.75" customHeight="1">
      <c r="A15" s="23"/>
      <c r="B15" s="23"/>
      <c r="C15" s="21" t="s">
        <v>220</v>
      </c>
      <c r="D15" s="178"/>
      <c r="E15" s="126"/>
      <c r="F15" s="8"/>
      <c r="K15" s="328" t="s">
        <v>111</v>
      </c>
      <c r="L15" s="328" t="s">
        <v>112</v>
      </c>
      <c r="M15" s="328" t="s">
        <v>113</v>
      </c>
    </row>
    <row r="16" spans="1:13" ht="12.75">
      <c r="A16" s="23"/>
      <c r="B16" s="23"/>
      <c r="C16" s="30" t="s">
        <v>16</v>
      </c>
      <c r="D16" s="49">
        <v>0.98</v>
      </c>
      <c r="E16" s="36">
        <v>140</v>
      </c>
      <c r="F16" s="2"/>
      <c r="G16" s="7" t="s">
        <v>13</v>
      </c>
      <c r="H16" s="133">
        <v>30</v>
      </c>
      <c r="I16" s="131">
        <v>0.45</v>
      </c>
      <c r="K16" s="328"/>
      <c r="L16" s="328"/>
      <c r="M16" s="328"/>
    </row>
    <row r="17" spans="1:13" ht="12.75">
      <c r="A17" s="23"/>
      <c r="B17" s="23"/>
      <c r="C17" s="31" t="s">
        <v>17</v>
      </c>
      <c r="D17" s="176">
        <f>1-D16</f>
        <v>0.020000000000000018</v>
      </c>
      <c r="E17" s="38">
        <v>170</v>
      </c>
      <c r="F17" s="2"/>
      <c r="G17" s="11">
        <v>60</v>
      </c>
      <c r="H17" s="134">
        <v>30</v>
      </c>
      <c r="I17" s="132">
        <v>0.5</v>
      </c>
      <c r="K17" s="35">
        <v>0.8</v>
      </c>
      <c r="L17" s="185">
        <f>1-K17</f>
        <v>0.19999999999999996</v>
      </c>
      <c r="M17" s="35">
        <v>1</v>
      </c>
    </row>
    <row r="18" spans="1:8" ht="12.75">
      <c r="A18" s="23"/>
      <c r="B18" s="23"/>
      <c r="C18" s="32" t="s">
        <v>15</v>
      </c>
      <c r="D18" s="41">
        <f>SUM(D16:D17)</f>
        <v>1</v>
      </c>
      <c r="E18" s="40">
        <f>1/(D16/E16+D17/E17)</f>
        <v>140.49586776859505</v>
      </c>
      <c r="F18" s="2"/>
      <c r="H18" s="135"/>
    </row>
    <row r="19" spans="1:12" ht="12.75">
      <c r="A19" s="23"/>
      <c r="B19" s="23"/>
      <c r="C19" s="18"/>
      <c r="D19" s="173"/>
      <c r="E19" s="80"/>
      <c r="F19" s="2"/>
      <c r="H19" s="135"/>
      <c r="K19" s="2"/>
      <c r="L19" s="2"/>
    </row>
    <row r="20" spans="1:13" ht="4.5" customHeight="1">
      <c r="A20" s="23"/>
      <c r="B20" s="23"/>
      <c r="C20" s="19"/>
      <c r="D20" s="179"/>
      <c r="E20" s="127"/>
      <c r="F20" s="20"/>
      <c r="G20" s="20"/>
      <c r="H20" s="136"/>
      <c r="I20" s="20"/>
      <c r="J20" s="20"/>
      <c r="K20" s="20"/>
      <c r="L20" s="20"/>
      <c r="M20" s="20"/>
    </row>
    <row r="21" spans="1:8" ht="12.75">
      <c r="A21" s="23"/>
      <c r="B21" s="23"/>
      <c r="D21" s="197" t="s">
        <v>128</v>
      </c>
      <c r="E21" s="128"/>
      <c r="H21" s="135"/>
    </row>
    <row r="22" spans="1:9" ht="12.75">
      <c r="A22" s="23"/>
      <c r="B22" s="23"/>
      <c r="C22" s="21" t="s">
        <v>11</v>
      </c>
      <c r="D22" s="180"/>
      <c r="E22" s="129"/>
      <c r="F22" s="2"/>
      <c r="G22" s="18"/>
      <c r="H22" s="137"/>
      <c r="I22" s="18"/>
    </row>
    <row r="23" spans="1:13" ht="12.75">
      <c r="A23" s="23"/>
      <c r="B23" s="23"/>
      <c r="C23" s="22" t="s">
        <v>12</v>
      </c>
      <c r="D23" s="49">
        <v>0.3</v>
      </c>
      <c r="E23" s="36">
        <v>350</v>
      </c>
      <c r="F23" s="2"/>
      <c r="G23" s="7" t="s">
        <v>13</v>
      </c>
      <c r="H23" s="135"/>
      <c r="K23" s="328" t="s">
        <v>108</v>
      </c>
      <c r="L23" s="328" t="s">
        <v>109</v>
      </c>
      <c r="M23" s="328" t="s">
        <v>110</v>
      </c>
    </row>
    <row r="24" spans="1:13" ht="12.75">
      <c r="A24" s="23"/>
      <c r="B24" s="23"/>
      <c r="C24" s="24" t="s">
        <v>14</v>
      </c>
      <c r="D24" s="176">
        <f>1-D23</f>
        <v>0.7</v>
      </c>
      <c r="E24" s="38">
        <v>500</v>
      </c>
      <c r="F24" s="2"/>
      <c r="G24" s="11">
        <v>0</v>
      </c>
      <c r="H24" s="135"/>
      <c r="K24" s="328"/>
      <c r="L24" s="328"/>
      <c r="M24" s="328"/>
    </row>
    <row r="25" spans="1:14" ht="12.75">
      <c r="A25" s="23"/>
      <c r="B25" s="23"/>
      <c r="C25" s="25" t="s">
        <v>15</v>
      </c>
      <c r="D25" s="41">
        <f>D24+D23</f>
        <v>1</v>
      </c>
      <c r="E25" s="40">
        <f>1/(D23/E23+D24/E24)</f>
        <v>443.03797468354435</v>
      </c>
      <c r="F25" s="2"/>
      <c r="G25" s="23"/>
      <c r="H25" s="138"/>
      <c r="K25" s="185">
        <f>K12</f>
        <v>1</v>
      </c>
      <c r="L25" s="185">
        <f>L12</f>
        <v>0.95</v>
      </c>
      <c r="M25" s="185">
        <f>M12</f>
        <v>0.050000000000000044</v>
      </c>
      <c r="N25" s="26"/>
    </row>
    <row r="26" spans="1:14" ht="12.75">
      <c r="A26" s="23"/>
      <c r="B26" s="23"/>
      <c r="C26" s="29"/>
      <c r="D26" s="173"/>
      <c r="E26" s="28"/>
      <c r="F26" s="2"/>
      <c r="G26" s="23"/>
      <c r="H26" s="138"/>
      <c r="K26" s="26"/>
      <c r="L26" s="23"/>
      <c r="N26" s="26"/>
    </row>
    <row r="27" spans="1:14" ht="12.75">
      <c r="A27" s="23"/>
      <c r="B27" s="23"/>
      <c r="C27" s="21" t="s">
        <v>220</v>
      </c>
      <c r="D27" s="178"/>
      <c r="E27" s="8"/>
      <c r="F27" s="8"/>
      <c r="H27" s="135"/>
      <c r="K27" s="328" t="s">
        <v>111</v>
      </c>
      <c r="L27" s="328" t="s">
        <v>112</v>
      </c>
      <c r="M27" s="328" t="s">
        <v>113</v>
      </c>
      <c r="N27" s="26"/>
    </row>
    <row r="28" spans="1:14" ht="12.75">
      <c r="A28" s="23"/>
      <c r="B28" s="23"/>
      <c r="C28" s="30" t="s">
        <v>16</v>
      </c>
      <c r="D28" s="49">
        <v>0.97</v>
      </c>
      <c r="E28" s="36">
        <v>175</v>
      </c>
      <c r="F28" s="2"/>
      <c r="G28" s="7" t="s">
        <v>13</v>
      </c>
      <c r="H28" s="133">
        <v>10</v>
      </c>
      <c r="I28" s="37">
        <v>0.4534116279069767</v>
      </c>
      <c r="K28" s="328"/>
      <c r="L28" s="328"/>
      <c r="M28" s="328"/>
      <c r="N28" s="26"/>
    </row>
    <row r="29" spans="1:14" ht="12.75">
      <c r="A29" s="23"/>
      <c r="B29" s="23"/>
      <c r="C29" s="31" t="s">
        <v>17</v>
      </c>
      <c r="D29" s="176">
        <f>1-D28</f>
        <v>0.030000000000000027</v>
      </c>
      <c r="E29" s="38">
        <v>210</v>
      </c>
      <c r="F29" s="2"/>
      <c r="G29" s="11">
        <v>20</v>
      </c>
      <c r="H29" s="134">
        <v>10</v>
      </c>
      <c r="I29" s="39">
        <v>0.5</v>
      </c>
      <c r="K29" s="185">
        <f>K17</f>
        <v>0.8</v>
      </c>
      <c r="L29" s="185">
        <f>L17</f>
        <v>0.19999999999999996</v>
      </c>
      <c r="M29" s="185">
        <f>M17</f>
        <v>1</v>
      </c>
      <c r="N29" s="26"/>
    </row>
    <row r="30" spans="1:14" ht="12.75">
      <c r="A30" s="23"/>
      <c r="B30" s="23"/>
      <c r="C30" s="32" t="s">
        <v>15</v>
      </c>
      <c r="D30" s="41">
        <f>SUM(D28:D29)</f>
        <v>1</v>
      </c>
      <c r="E30" s="40">
        <f>1/(D28/E28+D29/E29)</f>
        <v>175.8793969849246</v>
      </c>
      <c r="F30" s="2"/>
      <c r="N30" s="26"/>
    </row>
    <row r="31" spans="1:14" ht="12.75">
      <c r="A31" s="23"/>
      <c r="B31" s="23"/>
      <c r="C31" s="18"/>
      <c r="D31" s="181"/>
      <c r="E31" s="33"/>
      <c r="F31" s="2"/>
      <c r="K31" s="2"/>
      <c r="L31" s="2"/>
      <c r="N31" s="26"/>
    </row>
    <row r="32" spans="1:13" ht="3.75" customHeight="1">
      <c r="A32" s="23"/>
      <c r="B32" s="23"/>
      <c r="C32" s="19"/>
      <c r="D32" s="179"/>
      <c r="E32" s="20"/>
      <c r="F32" s="20"/>
      <c r="G32" s="20"/>
      <c r="H32" s="20"/>
      <c r="I32" s="20"/>
      <c r="J32" s="20"/>
      <c r="K32" s="20"/>
      <c r="L32" s="20"/>
      <c r="M32" s="20"/>
    </row>
    <row r="33" spans="1:4" ht="12.75">
      <c r="A33" s="23"/>
      <c r="B33" s="23"/>
      <c r="D33" s="197" t="s">
        <v>272</v>
      </c>
    </row>
    <row r="34" spans="1:13" ht="12.75">
      <c r="A34" s="23"/>
      <c r="B34" s="23"/>
      <c r="C34" s="21" t="s">
        <v>11</v>
      </c>
      <c r="D34" s="180"/>
      <c r="E34" s="15"/>
      <c r="F34" s="2"/>
      <c r="G34" s="18"/>
      <c r="H34" s="18"/>
      <c r="I34" s="18"/>
      <c r="J34" s="18"/>
      <c r="K34" s="18"/>
      <c r="L34" s="18"/>
      <c r="M34" s="18"/>
    </row>
    <row r="35" spans="1:13" ht="12.75">
      <c r="A35" s="23"/>
      <c r="B35" s="23"/>
      <c r="C35" s="22" t="s">
        <v>12</v>
      </c>
      <c r="D35" s="49">
        <v>0.75</v>
      </c>
      <c r="E35" s="36">
        <v>112</v>
      </c>
      <c r="F35" s="2"/>
      <c r="G35" s="7" t="s">
        <v>13</v>
      </c>
      <c r="K35" s="22" t="s">
        <v>20</v>
      </c>
      <c r="L35" s="22" t="s">
        <v>21</v>
      </c>
      <c r="M35" s="183">
        <v>0.85</v>
      </c>
    </row>
    <row r="36" spans="1:13" ht="12.75">
      <c r="A36" s="23"/>
      <c r="B36" s="23"/>
      <c r="C36" s="24" t="s">
        <v>14</v>
      </c>
      <c r="D36" s="176">
        <f>1-D35</f>
        <v>0.25</v>
      </c>
      <c r="E36" s="38">
        <v>112</v>
      </c>
      <c r="F36" s="2"/>
      <c r="G36" s="11">
        <v>0</v>
      </c>
      <c r="K36" s="24" t="s">
        <v>22</v>
      </c>
      <c r="L36" s="24" t="s">
        <v>21</v>
      </c>
      <c r="M36" s="184">
        <v>0.15</v>
      </c>
    </row>
    <row r="37" spans="1:13" ht="12.75">
      <c r="A37" s="23"/>
      <c r="B37" s="23"/>
      <c r="C37" s="25" t="s">
        <v>15</v>
      </c>
      <c r="D37" s="182">
        <f>D36+D35</f>
        <v>1</v>
      </c>
      <c r="E37" s="40">
        <f>1/(D35/E35+D36/E36)</f>
        <v>112</v>
      </c>
      <c r="F37" s="2"/>
      <c r="G37" s="23"/>
      <c r="H37" s="23"/>
      <c r="I37" s="18"/>
      <c r="J37" s="18"/>
      <c r="K37" s="48" t="s">
        <v>23</v>
      </c>
      <c r="L37" s="48" t="s">
        <v>21</v>
      </c>
      <c r="M37" s="186">
        <f>1-(M35+M36)</f>
        <v>0</v>
      </c>
    </row>
    <row r="38" spans="1:13" ht="12.75">
      <c r="A38" s="23"/>
      <c r="B38" s="23"/>
      <c r="C38" s="29"/>
      <c r="D38" s="173"/>
      <c r="E38" s="28"/>
      <c r="F38" s="2"/>
      <c r="G38" s="23"/>
      <c r="H38" s="18"/>
      <c r="K38" s="22" t="s">
        <v>20</v>
      </c>
      <c r="L38" s="22" t="s">
        <v>24</v>
      </c>
      <c r="M38" s="183">
        <v>0</v>
      </c>
    </row>
    <row r="39" spans="1:13" ht="12.75">
      <c r="A39" s="23"/>
      <c r="B39" s="23"/>
      <c r="C39" s="21" t="s">
        <v>220</v>
      </c>
      <c r="D39" s="178"/>
      <c r="E39" s="8"/>
      <c r="F39" s="8"/>
      <c r="K39" s="24" t="s">
        <v>22</v>
      </c>
      <c r="L39" s="24" t="s">
        <v>24</v>
      </c>
      <c r="M39" s="184">
        <v>0.8</v>
      </c>
    </row>
    <row r="40" spans="1:13" ht="12.75">
      <c r="A40" s="23"/>
      <c r="B40" s="23"/>
      <c r="C40" s="30" t="s">
        <v>16</v>
      </c>
      <c r="D40" s="49">
        <v>0.9</v>
      </c>
      <c r="E40" s="36">
        <v>105</v>
      </c>
      <c r="F40" s="2"/>
      <c r="G40" s="7" t="s">
        <v>13</v>
      </c>
      <c r="K40" s="48" t="s">
        <v>23</v>
      </c>
      <c r="L40" s="48" t="s">
        <v>24</v>
      </c>
      <c r="M40" s="186">
        <f>1-(M38+M39)</f>
        <v>0.19999999999999996</v>
      </c>
    </row>
    <row r="41" spans="1:7" ht="12.75">
      <c r="A41" s="23"/>
      <c r="B41" s="23"/>
      <c r="C41" s="31" t="s">
        <v>17</v>
      </c>
      <c r="D41" s="176">
        <f>1-D40</f>
        <v>0.09999999999999998</v>
      </c>
      <c r="E41" s="38">
        <v>105</v>
      </c>
      <c r="F41" s="2"/>
      <c r="G41" s="11">
        <v>0</v>
      </c>
    </row>
    <row r="42" spans="1:6" ht="12.75">
      <c r="A42" s="23"/>
      <c r="B42" s="23"/>
      <c r="C42" s="32" t="s">
        <v>15</v>
      </c>
      <c r="D42" s="41">
        <f>SUM(D40:D41)</f>
        <v>1</v>
      </c>
      <c r="E42" s="40">
        <f>1/(D40/E40+D41/E41)</f>
        <v>104.99999999999999</v>
      </c>
      <c r="F42" s="2"/>
    </row>
    <row r="43" spans="1:2" ht="12.75">
      <c r="A43" s="23"/>
      <c r="B43" s="23"/>
    </row>
    <row r="44" ht="4.5" customHeight="1"/>
    <row r="45" ht="12.75">
      <c r="B45" s="23"/>
    </row>
  </sheetData>
  <mergeCells count="13">
    <mergeCell ref="K27:K28"/>
    <mergeCell ref="L27:L28"/>
    <mergeCell ref="M27:M28"/>
    <mergeCell ref="K15:K16"/>
    <mergeCell ref="L15:L16"/>
    <mergeCell ref="M15:M16"/>
    <mergeCell ref="K23:K24"/>
    <mergeCell ref="L23:L24"/>
    <mergeCell ref="M23:M24"/>
    <mergeCell ref="C4:C5"/>
    <mergeCell ref="K10:K11"/>
    <mergeCell ref="L10:L11"/>
    <mergeCell ref="M10:M11"/>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J32"/>
  <sheetViews>
    <sheetView workbookViewId="0" topLeftCell="A1">
      <selection activeCell="A1" sqref="A1"/>
    </sheetView>
  </sheetViews>
  <sheetFormatPr defaultColWidth="11.421875" defaultRowHeight="12.75"/>
  <cols>
    <col min="1" max="1" width="2.7109375" style="1" customWidth="1"/>
    <col min="2" max="2" width="4.7109375" style="1" customWidth="1"/>
    <col min="3" max="3" width="26.421875" style="1" customWidth="1"/>
    <col min="4" max="7" width="15.7109375" style="1" customWidth="1"/>
    <col min="8" max="16384" width="11.421875" style="1" customWidth="1"/>
  </cols>
  <sheetData>
    <row r="1" spans="2:9" ht="18" customHeight="1">
      <c r="B1" s="6"/>
      <c r="D1" s="21"/>
      <c r="E1" s="21"/>
      <c r="F1" s="21"/>
      <c r="G1" s="21"/>
      <c r="H1" s="21"/>
      <c r="I1" s="6"/>
    </row>
    <row r="2" spans="2:7" ht="12.75">
      <c r="B2" s="3"/>
      <c r="C2" s="3" t="s">
        <v>183</v>
      </c>
      <c r="D2" s="3"/>
      <c r="E2" s="3"/>
      <c r="F2" s="47"/>
      <c r="G2" s="3"/>
    </row>
    <row r="3" spans="3:7" ht="12.75">
      <c r="C3" s="6"/>
      <c r="D3" s="6"/>
      <c r="E3" s="6"/>
      <c r="F3" s="6"/>
      <c r="G3" s="6"/>
    </row>
    <row r="4" spans="3:7" ht="12.75">
      <c r="C4" s="21"/>
      <c r="D4" s="329" t="s">
        <v>25</v>
      </c>
      <c r="E4" s="50" t="s">
        <v>26</v>
      </c>
      <c r="F4" s="331" t="s">
        <v>176</v>
      </c>
      <c r="G4" s="332"/>
    </row>
    <row r="5" spans="3:7" ht="20.25" customHeight="1">
      <c r="C5" s="21"/>
      <c r="D5" s="330"/>
      <c r="E5" s="51" t="s">
        <v>27</v>
      </c>
      <c r="F5" s="52" t="s">
        <v>28</v>
      </c>
      <c r="G5" s="52" t="s">
        <v>29</v>
      </c>
    </row>
    <row r="6" spans="3:7" ht="12.75">
      <c r="C6" s="21"/>
      <c r="D6" s="6"/>
      <c r="E6" s="6"/>
      <c r="F6" s="6"/>
      <c r="G6" s="6"/>
    </row>
    <row r="7" spans="3:7" ht="3" customHeight="1">
      <c r="C7" s="19"/>
      <c r="D7" s="20"/>
      <c r="E7" s="20"/>
      <c r="F7" s="20"/>
      <c r="G7" s="20"/>
    </row>
    <row r="8" spans="3:7" ht="12" customHeight="1">
      <c r="C8" s="21"/>
      <c r="D8" s="196" t="s">
        <v>18</v>
      </c>
      <c r="E8" s="6"/>
      <c r="F8" s="6"/>
      <c r="G8" s="6"/>
    </row>
    <row r="9" spans="4:7" ht="12.75">
      <c r="D9" s="21"/>
      <c r="E9" s="21"/>
      <c r="F9" s="21"/>
      <c r="G9" s="21"/>
    </row>
    <row r="10" spans="2:10" s="142" customFormat="1" ht="19.5" customHeight="1">
      <c r="B10" s="1"/>
      <c r="C10" s="206" t="s">
        <v>11</v>
      </c>
      <c r="D10" s="303">
        <v>6.5</v>
      </c>
      <c r="E10" s="304">
        <v>0</v>
      </c>
      <c r="F10" s="305">
        <v>2.3</v>
      </c>
      <c r="G10" s="305">
        <v>1.2</v>
      </c>
      <c r="H10" s="1"/>
      <c r="I10" s="1"/>
      <c r="J10" s="1"/>
    </row>
    <row r="11" spans="4:7" ht="12.75">
      <c r="D11" s="306"/>
      <c r="E11" s="307"/>
      <c r="F11" s="306"/>
      <c r="G11" s="306"/>
    </row>
    <row r="12" spans="2:10" s="142" customFormat="1" ht="19.5" customHeight="1">
      <c r="B12" s="1"/>
      <c r="C12" s="21" t="s">
        <v>220</v>
      </c>
      <c r="D12" s="303">
        <v>7.6</v>
      </c>
      <c r="E12" s="304">
        <v>60</v>
      </c>
      <c r="F12" s="305">
        <v>2.4</v>
      </c>
      <c r="G12" s="305">
        <v>1.5</v>
      </c>
      <c r="H12" s="1"/>
      <c r="I12" s="1"/>
      <c r="J12" s="1"/>
    </row>
    <row r="13" spans="4:7" ht="12.75">
      <c r="D13" s="308"/>
      <c r="E13" s="307"/>
      <c r="F13" s="306"/>
      <c r="G13" s="306"/>
    </row>
    <row r="14" spans="3:7" ht="3" customHeight="1">
      <c r="C14" s="19"/>
      <c r="D14" s="309"/>
      <c r="E14" s="310"/>
      <c r="F14" s="311"/>
      <c r="G14" s="311"/>
    </row>
    <row r="15" spans="3:7" ht="12.75">
      <c r="C15" s="21"/>
      <c r="D15" s="312" t="s">
        <v>128</v>
      </c>
      <c r="E15" s="85"/>
      <c r="F15" s="313"/>
      <c r="G15" s="313"/>
    </row>
    <row r="16" spans="4:7" ht="12.75">
      <c r="D16" s="308"/>
      <c r="E16" s="307"/>
      <c r="F16" s="306"/>
      <c r="G16" s="306"/>
    </row>
    <row r="17" spans="2:10" s="142" customFormat="1" ht="19.5" customHeight="1">
      <c r="B17" s="1"/>
      <c r="C17" s="206" t="s">
        <v>11</v>
      </c>
      <c r="D17" s="303">
        <v>8.8</v>
      </c>
      <c r="E17" s="304">
        <v>0</v>
      </c>
      <c r="F17" s="305">
        <v>6.5</v>
      </c>
      <c r="G17" s="305">
        <v>4.4</v>
      </c>
      <c r="H17" s="1"/>
      <c r="I17" s="1"/>
      <c r="J17" s="1"/>
    </row>
    <row r="18" spans="4:7" ht="12.75">
      <c r="D18" s="306"/>
      <c r="E18" s="307"/>
      <c r="F18" s="306"/>
      <c r="G18" s="306"/>
    </row>
    <row r="19" spans="2:10" s="142" customFormat="1" ht="19.5" customHeight="1">
      <c r="B19" s="1"/>
      <c r="C19" s="21" t="s">
        <v>220</v>
      </c>
      <c r="D19" s="303">
        <v>7.6</v>
      </c>
      <c r="E19" s="304">
        <v>20</v>
      </c>
      <c r="F19" s="305">
        <v>6.1</v>
      </c>
      <c r="G19" s="305">
        <v>4.6</v>
      </c>
      <c r="H19" s="1"/>
      <c r="I19" s="1"/>
      <c r="J19" s="1"/>
    </row>
    <row r="20" spans="4:7" ht="12.75">
      <c r="D20" s="306"/>
      <c r="E20" s="307"/>
      <c r="F20" s="306"/>
      <c r="G20" s="306"/>
    </row>
    <row r="21" spans="3:7" ht="2.25" customHeight="1">
      <c r="C21" s="19"/>
      <c r="D21" s="309"/>
      <c r="E21" s="310"/>
      <c r="F21" s="311"/>
      <c r="G21" s="311"/>
    </row>
    <row r="22" spans="3:7" ht="12.75">
      <c r="C22" s="21"/>
      <c r="D22" s="312" t="s">
        <v>19</v>
      </c>
      <c r="E22" s="85"/>
      <c r="F22" s="313"/>
      <c r="G22" s="313"/>
    </row>
    <row r="23" spans="3:7" ht="12.75">
      <c r="C23" s="207"/>
      <c r="D23" s="314"/>
      <c r="E23" s="315"/>
      <c r="F23" s="316"/>
      <c r="G23" s="316"/>
    </row>
    <row r="24" spans="3:7" ht="12.75">
      <c r="C24" s="207"/>
      <c r="D24" s="317" t="s">
        <v>180</v>
      </c>
      <c r="E24" s="307"/>
      <c r="F24" s="306"/>
      <c r="G24" s="306"/>
    </row>
    <row r="25" spans="2:10" s="142" customFormat="1" ht="19.5" customHeight="1">
      <c r="B25" s="1"/>
      <c r="C25" s="206" t="s">
        <v>11</v>
      </c>
      <c r="D25" s="303">
        <v>15</v>
      </c>
      <c r="E25" s="304">
        <v>0</v>
      </c>
      <c r="F25" s="305">
        <v>9.1</v>
      </c>
      <c r="G25" s="305">
        <v>5</v>
      </c>
      <c r="H25" s="301"/>
      <c r="I25" s="1"/>
      <c r="J25" s="1"/>
    </row>
    <row r="26" spans="3:8" ht="12.75">
      <c r="C26" s="207"/>
      <c r="D26" s="306"/>
      <c r="E26" s="307"/>
      <c r="F26" s="306"/>
      <c r="G26" s="306"/>
      <c r="H26" s="301"/>
    </row>
    <row r="27" spans="2:9" s="142" customFormat="1" ht="19.5" customHeight="1">
      <c r="B27" s="1"/>
      <c r="C27" s="21" t="s">
        <v>220</v>
      </c>
      <c r="D27" s="303">
        <v>17.5</v>
      </c>
      <c r="E27" s="304">
        <v>0</v>
      </c>
      <c r="F27" s="305">
        <v>9</v>
      </c>
      <c r="G27" s="305">
        <v>9</v>
      </c>
      <c r="H27" s="302"/>
      <c r="I27" s="145"/>
    </row>
    <row r="28" spans="3:9" ht="12.75">
      <c r="C28" s="207"/>
      <c r="D28" s="308"/>
      <c r="E28" s="307"/>
      <c r="F28" s="306"/>
      <c r="G28" s="306"/>
      <c r="H28" s="21"/>
      <c r="I28" s="6"/>
    </row>
    <row r="29" spans="3:9" ht="12.75">
      <c r="C29" s="207"/>
      <c r="D29" s="308" t="s">
        <v>32</v>
      </c>
      <c r="E29" s="307"/>
      <c r="F29" s="306"/>
      <c r="G29" s="306"/>
      <c r="H29" s="21"/>
      <c r="I29" s="6"/>
    </row>
    <row r="30" spans="2:9" s="142" customFormat="1" ht="19.5" customHeight="1">
      <c r="B30" s="1"/>
      <c r="C30" s="206" t="s">
        <v>11</v>
      </c>
      <c r="D30" s="303">
        <v>15</v>
      </c>
      <c r="E30" s="304">
        <v>0</v>
      </c>
      <c r="F30" s="305">
        <v>12.2</v>
      </c>
      <c r="G30" s="305">
        <v>6.6</v>
      </c>
      <c r="H30" s="145"/>
      <c r="I30" s="145"/>
    </row>
    <row r="31" spans="3:9" ht="12.75">
      <c r="C31" s="207"/>
      <c r="D31" s="306"/>
      <c r="E31" s="307"/>
      <c r="F31" s="306"/>
      <c r="G31" s="306"/>
      <c r="H31" s="21"/>
      <c r="I31" s="6"/>
    </row>
    <row r="32" spans="2:9" s="142" customFormat="1" ht="19.5" customHeight="1">
      <c r="B32" s="1"/>
      <c r="C32" s="21" t="s">
        <v>220</v>
      </c>
      <c r="D32" s="303">
        <v>17.5</v>
      </c>
      <c r="E32" s="304">
        <v>0</v>
      </c>
      <c r="F32" s="305">
        <v>11.4</v>
      </c>
      <c r="G32" s="305">
        <v>11.4</v>
      </c>
      <c r="H32" s="143"/>
      <c r="I32" s="145"/>
    </row>
  </sheetData>
  <mergeCells count="2">
    <mergeCell ref="D4:D5"/>
    <mergeCell ref="F4:G4"/>
  </mergeCells>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O49"/>
  <sheetViews>
    <sheetView workbookViewId="0" topLeftCell="A1">
      <selection activeCell="A1" sqref="A1"/>
    </sheetView>
  </sheetViews>
  <sheetFormatPr defaultColWidth="11.421875" defaultRowHeight="12.75"/>
  <cols>
    <col min="1" max="1" width="2.7109375" style="1" customWidth="1"/>
    <col min="2" max="2" width="4.7109375" style="1" customWidth="1"/>
    <col min="3" max="16384" width="11.421875" style="1" customWidth="1"/>
  </cols>
  <sheetData>
    <row r="1" ht="18" customHeight="1"/>
    <row r="2" spans="2:15" ht="12.75">
      <c r="B2" s="3"/>
      <c r="C2" s="3" t="s">
        <v>42</v>
      </c>
      <c r="D2" s="3"/>
      <c r="E2" s="4"/>
      <c r="F2" s="4"/>
      <c r="G2" s="4"/>
      <c r="H2" s="4"/>
      <c r="I2" s="4"/>
      <c r="J2" s="3"/>
      <c r="K2" s="4"/>
      <c r="L2" s="4"/>
      <c r="M2" s="4"/>
      <c r="N2" s="4"/>
      <c r="O2" s="4"/>
    </row>
    <row r="3" spans="2:15" ht="12.75">
      <c r="B3" s="2"/>
      <c r="C3" s="21"/>
      <c r="D3" s="21"/>
      <c r="E3" s="21"/>
      <c r="F3" s="21"/>
      <c r="G3" s="21"/>
      <c r="H3" s="21"/>
      <c r="I3" s="6"/>
      <c r="J3" s="6"/>
      <c r="K3" s="6"/>
      <c r="L3" s="6"/>
      <c r="M3" s="6"/>
      <c r="N3" s="6"/>
      <c r="O3" s="6"/>
    </row>
    <row r="4" spans="2:15" ht="12.75">
      <c r="B4" s="2"/>
      <c r="C4" s="6"/>
      <c r="D4" s="53" t="s">
        <v>33</v>
      </c>
      <c r="E4" s="54" t="s">
        <v>36</v>
      </c>
      <c r="F4" s="54"/>
      <c r="G4" s="64" t="s">
        <v>37</v>
      </c>
      <c r="H4" s="65"/>
      <c r="I4" s="53" t="s">
        <v>38</v>
      </c>
      <c r="J4" s="53" t="s">
        <v>39</v>
      </c>
      <c r="K4" s="66" t="s">
        <v>40</v>
      </c>
      <c r="L4" s="43"/>
      <c r="M4" s="53" t="s">
        <v>34</v>
      </c>
      <c r="N4" s="55" t="s">
        <v>263</v>
      </c>
      <c r="O4" s="53" t="s">
        <v>125</v>
      </c>
    </row>
    <row r="5" spans="3:15" ht="12.75">
      <c r="C5" s="18"/>
      <c r="D5" s="11"/>
      <c r="E5" s="56" t="s">
        <v>7</v>
      </c>
      <c r="F5" s="57" t="s">
        <v>35</v>
      </c>
      <c r="G5" s="56" t="s">
        <v>7</v>
      </c>
      <c r="H5" s="57" t="s">
        <v>35</v>
      </c>
      <c r="I5" s="11"/>
      <c r="J5" s="11" t="s">
        <v>292</v>
      </c>
      <c r="K5" s="56" t="s">
        <v>7</v>
      </c>
      <c r="L5" s="57" t="s">
        <v>35</v>
      </c>
      <c r="M5" s="11"/>
      <c r="N5" s="51"/>
      <c r="O5" s="11"/>
    </row>
    <row r="6" spans="3:15" ht="12.75">
      <c r="C6" s="18"/>
      <c r="D6" s="73"/>
      <c r="E6" s="73"/>
      <c r="F6" s="73"/>
      <c r="G6" s="73"/>
      <c r="H6" s="73"/>
      <c r="I6" s="73"/>
      <c r="J6" s="73"/>
      <c r="K6" s="73"/>
      <c r="L6" s="73"/>
      <c r="M6" s="73"/>
      <c r="N6" s="73"/>
      <c r="O6" s="18"/>
    </row>
    <row r="7" spans="3:15" ht="3" customHeight="1">
      <c r="C7" s="19"/>
      <c r="D7" s="20"/>
      <c r="E7" s="20"/>
      <c r="F7" s="20"/>
      <c r="G7" s="20"/>
      <c r="H7" s="20"/>
      <c r="I7" s="20"/>
      <c r="J7" s="20"/>
      <c r="K7" s="20"/>
      <c r="L7" s="20"/>
      <c r="M7" s="20"/>
      <c r="N7" s="20"/>
      <c r="O7" s="20"/>
    </row>
    <row r="8" spans="4:15" ht="12.75">
      <c r="D8" s="196" t="s">
        <v>18</v>
      </c>
      <c r="E8" s="18"/>
      <c r="F8" s="18"/>
      <c r="G8" s="18"/>
      <c r="H8" s="18"/>
      <c r="I8" s="18"/>
      <c r="J8" s="18"/>
      <c r="K8" s="18"/>
      <c r="L8" s="18"/>
      <c r="M8" s="18"/>
      <c r="N8" s="18"/>
      <c r="O8" s="18"/>
    </row>
    <row r="9" spans="3:15" ht="12.75">
      <c r="C9" s="206" t="s">
        <v>11</v>
      </c>
      <c r="E9" s="18"/>
      <c r="F9" s="18"/>
      <c r="G9" s="18"/>
      <c r="H9" s="18"/>
      <c r="I9" s="18"/>
      <c r="J9" s="18"/>
      <c r="K9" s="18"/>
      <c r="L9" s="18"/>
      <c r="M9" s="18"/>
      <c r="N9" s="18"/>
      <c r="O9" s="18"/>
    </row>
    <row r="10" spans="3:15" ht="12.75">
      <c r="C10" s="58" t="s">
        <v>45</v>
      </c>
      <c r="D10" s="259">
        <f>'Profils d''appel'!D11</f>
        <v>0.53</v>
      </c>
      <c r="E10" s="284">
        <f>'Profils d''appel'!E11</f>
        <v>200</v>
      </c>
      <c r="F10" s="59">
        <f>E10/60</f>
        <v>3.3333333333333335</v>
      </c>
      <c r="G10" s="284">
        <v>0</v>
      </c>
      <c r="H10" s="286">
        <f>G10/60</f>
        <v>0</v>
      </c>
      <c r="I10" s="259">
        <v>0</v>
      </c>
      <c r="J10" s="60">
        <f>'Tarifs de détail FT'!D10</f>
        <v>6.5</v>
      </c>
      <c r="K10" s="288">
        <v>0</v>
      </c>
      <c r="L10" s="291">
        <f>K10/60</f>
        <v>0</v>
      </c>
      <c r="M10" s="60">
        <f>'Tarifs de détail FT'!F10</f>
        <v>2.3</v>
      </c>
      <c r="N10" s="68">
        <f>I10*J10+(1-I10)*(J10+((F10-I10*H10)/(1-I10)-L10)*M10)</f>
        <v>14.166666666666666</v>
      </c>
      <c r="O10" s="60">
        <f>N10/F10</f>
        <v>4.25</v>
      </c>
    </row>
    <row r="11" spans="3:15" ht="12.75">
      <c r="C11" s="61" t="s">
        <v>47</v>
      </c>
      <c r="D11" s="186">
        <f>1-D10</f>
        <v>0.47</v>
      </c>
      <c r="E11" s="285">
        <f>'Profils d''appel'!E12</f>
        <v>250</v>
      </c>
      <c r="F11" s="62">
        <f>E11/60</f>
        <v>4.166666666666667</v>
      </c>
      <c r="G11" s="285">
        <v>0</v>
      </c>
      <c r="H11" s="287">
        <f>G11/60</f>
        <v>0</v>
      </c>
      <c r="I11" s="186">
        <v>0</v>
      </c>
      <c r="J11" s="63">
        <f>'Tarifs de détail FT'!D10</f>
        <v>6.5</v>
      </c>
      <c r="K11" s="289">
        <v>0</v>
      </c>
      <c r="L11" s="292">
        <f>K11/60</f>
        <v>0</v>
      </c>
      <c r="M11" s="63">
        <f>'Tarifs de détail FT'!G10</f>
        <v>1.2</v>
      </c>
      <c r="N11" s="71">
        <f>I11*J11+(1-I11)*(J11+((F11-I11*H11)/(1-I11)-L11)*M11)</f>
        <v>11.5</v>
      </c>
      <c r="O11" s="63">
        <f>N11/F11</f>
        <v>2.76</v>
      </c>
    </row>
    <row r="12" spans="4:15" ht="12.75">
      <c r="D12" s="258"/>
      <c r="E12" s="110"/>
      <c r="F12" s="6"/>
      <c r="G12" s="110"/>
      <c r="H12" s="6"/>
      <c r="I12" s="258"/>
      <c r="J12" s="42"/>
      <c r="K12" s="290"/>
      <c r="L12" s="110"/>
      <c r="N12" s="89" t="s">
        <v>181</v>
      </c>
      <c r="O12" s="296">
        <f>SUMPRODUCT(D10:D11,O10:O11)</f>
        <v>3.5496999999999996</v>
      </c>
    </row>
    <row r="13" spans="3:14" ht="12.75">
      <c r="C13" s="21" t="s">
        <v>220</v>
      </c>
      <c r="D13" s="260"/>
      <c r="E13" s="135"/>
      <c r="G13" s="135"/>
      <c r="I13" s="260"/>
      <c r="J13" s="293"/>
      <c r="K13" s="135"/>
      <c r="L13" s="135"/>
      <c r="N13" s="208"/>
    </row>
    <row r="14" spans="3:15" ht="12.75">
      <c r="C14" s="58" t="s">
        <v>41</v>
      </c>
      <c r="D14" s="259">
        <f>'Profils d''appel'!D16</f>
        <v>0.98</v>
      </c>
      <c r="E14" s="284">
        <f>'Profils d''appel'!E16</f>
        <v>140</v>
      </c>
      <c r="F14" s="59">
        <f>E14/60</f>
        <v>2.3333333333333335</v>
      </c>
      <c r="G14" s="284">
        <f>'Profils d''appel'!H16</f>
        <v>30</v>
      </c>
      <c r="H14" s="59">
        <f>G14/60</f>
        <v>0.5</v>
      </c>
      <c r="I14" s="259">
        <f>'Profils d''appel'!I16</f>
        <v>0.45</v>
      </c>
      <c r="J14" s="60">
        <f>'Tarifs de détail FT'!D12</f>
        <v>7.6</v>
      </c>
      <c r="K14" s="288">
        <f>'Tarifs de détail FT'!E12</f>
        <v>60</v>
      </c>
      <c r="L14" s="291">
        <f>K14/60</f>
        <v>1</v>
      </c>
      <c r="M14" s="60">
        <f>'Tarifs de détail FT'!F12</f>
        <v>2.4</v>
      </c>
      <c r="N14" s="68">
        <f>I14*J14+(1-I14)*(J14+((F14-I14*H14)/(1-I14)-L14)*M14)</f>
        <v>11.34</v>
      </c>
      <c r="O14" s="60">
        <f>N14/F14</f>
        <v>4.859999999999999</v>
      </c>
    </row>
    <row r="15" spans="3:15" ht="12.75">
      <c r="C15" s="61" t="s">
        <v>28</v>
      </c>
      <c r="D15" s="186">
        <f>1-D14</f>
        <v>0.020000000000000018</v>
      </c>
      <c r="E15" s="285">
        <f>'Profils d''appel'!E17</f>
        <v>170</v>
      </c>
      <c r="F15" s="62">
        <f>E15/60</f>
        <v>2.8333333333333335</v>
      </c>
      <c r="G15" s="285">
        <f>'Profils d''appel'!H17</f>
        <v>30</v>
      </c>
      <c r="H15" s="69">
        <f>G15/60</f>
        <v>0.5</v>
      </c>
      <c r="I15" s="186">
        <f>'Profils d''appel'!I17</f>
        <v>0.5</v>
      </c>
      <c r="J15" s="63">
        <f>'Tarifs de détail FT'!D12</f>
        <v>7.6</v>
      </c>
      <c r="K15" s="289">
        <f>'Tarifs de détail FT'!E12</f>
        <v>60</v>
      </c>
      <c r="L15" s="292">
        <f>K15/60</f>
        <v>1</v>
      </c>
      <c r="M15" s="63">
        <f>'Tarifs de détail FT'!G12</f>
        <v>1.5</v>
      </c>
      <c r="N15" s="71">
        <f>I15*J15+(1-I15)*(J15+((F15-I15*H15)/(1-I15)-L15)*M15)</f>
        <v>10.725</v>
      </c>
      <c r="O15" s="63">
        <f>N15/F15</f>
        <v>3.7852941176470587</v>
      </c>
    </row>
    <row r="16" spans="3:15" ht="12.75">
      <c r="C16" s="21"/>
      <c r="D16" s="258"/>
      <c r="E16" s="110"/>
      <c r="F16" s="6"/>
      <c r="G16" s="110"/>
      <c r="H16" s="6"/>
      <c r="I16" s="258"/>
      <c r="J16" s="42"/>
      <c r="K16" s="290"/>
      <c r="L16" s="110"/>
      <c r="M16" s="42"/>
      <c r="N16" s="89" t="s">
        <v>181</v>
      </c>
      <c r="O16" s="296">
        <f>SUMPRODUCT(D14:D15,O14:O15)</f>
        <v>4.8385058823529405</v>
      </c>
    </row>
    <row r="17" spans="4:14" ht="12.75">
      <c r="D17" s="260"/>
      <c r="E17" s="135"/>
      <c r="G17" s="135"/>
      <c r="I17" s="260"/>
      <c r="J17" s="293"/>
      <c r="K17" s="135"/>
      <c r="L17" s="135"/>
      <c r="N17" s="208"/>
    </row>
    <row r="18" spans="3:15" ht="3" customHeight="1">
      <c r="C18" s="19"/>
      <c r="D18" s="179"/>
      <c r="E18" s="136"/>
      <c r="F18" s="20"/>
      <c r="G18" s="136"/>
      <c r="H18" s="20"/>
      <c r="I18" s="179"/>
      <c r="J18" s="294"/>
      <c r="K18" s="136"/>
      <c r="L18" s="136"/>
      <c r="M18" s="20"/>
      <c r="N18" s="20"/>
      <c r="O18" s="20"/>
    </row>
    <row r="19" spans="4:15" ht="12.75">
      <c r="D19" s="197" t="s">
        <v>128</v>
      </c>
      <c r="E19" s="137"/>
      <c r="F19" s="18"/>
      <c r="G19" s="137"/>
      <c r="H19" s="18"/>
      <c r="I19" s="181"/>
      <c r="J19" s="295"/>
      <c r="K19" s="137"/>
      <c r="L19" s="137"/>
      <c r="M19" s="18"/>
      <c r="N19" s="18"/>
      <c r="O19" s="18"/>
    </row>
    <row r="20" spans="3:15" ht="12.75">
      <c r="C20" s="206" t="s">
        <v>11</v>
      </c>
      <c r="D20" s="260"/>
      <c r="E20" s="137"/>
      <c r="F20" s="18"/>
      <c r="G20" s="137"/>
      <c r="H20" s="18"/>
      <c r="I20" s="181"/>
      <c r="J20" s="295"/>
      <c r="K20" s="137"/>
      <c r="L20" s="137"/>
      <c r="M20" s="18"/>
      <c r="N20" s="18"/>
      <c r="O20" s="18"/>
    </row>
    <row r="21" spans="3:15" ht="12.75">
      <c r="C21" s="58" t="s">
        <v>45</v>
      </c>
      <c r="D21" s="259">
        <f>'Profils d''appel'!D23</f>
        <v>0.3</v>
      </c>
      <c r="E21" s="284">
        <f>'Profils d''appel'!E23</f>
        <v>350</v>
      </c>
      <c r="F21" s="59">
        <f>E21/60</f>
        <v>5.833333333333333</v>
      </c>
      <c r="G21" s="284">
        <v>0</v>
      </c>
      <c r="H21" s="286">
        <f>G21/60</f>
        <v>0</v>
      </c>
      <c r="I21" s="259">
        <v>0</v>
      </c>
      <c r="J21" s="60">
        <f>'Tarifs de détail FT'!D17</f>
        <v>8.8</v>
      </c>
      <c r="K21" s="288">
        <v>0</v>
      </c>
      <c r="L21" s="291">
        <f>K21/60</f>
        <v>0</v>
      </c>
      <c r="M21" s="60">
        <f>'Tarifs de détail FT'!F17</f>
        <v>6.5</v>
      </c>
      <c r="N21" s="68">
        <f>I21*J21+(1-I21)*(J21+((F21-I21*H21)/(1-I21)-L21)*M21)</f>
        <v>46.71666666666667</v>
      </c>
      <c r="O21" s="60">
        <f>N21/F21</f>
        <v>8.008571428571429</v>
      </c>
    </row>
    <row r="22" spans="3:15" ht="12.75">
      <c r="C22" s="61" t="s">
        <v>47</v>
      </c>
      <c r="D22" s="186">
        <f>1-D21</f>
        <v>0.7</v>
      </c>
      <c r="E22" s="285">
        <f>'Profils d''appel'!E24</f>
        <v>500</v>
      </c>
      <c r="F22" s="62">
        <f>E22/60</f>
        <v>8.333333333333334</v>
      </c>
      <c r="G22" s="285">
        <v>0</v>
      </c>
      <c r="H22" s="287">
        <f>G22/60</f>
        <v>0</v>
      </c>
      <c r="I22" s="186">
        <v>0</v>
      </c>
      <c r="J22" s="63">
        <f>'Tarifs de détail FT'!D17</f>
        <v>8.8</v>
      </c>
      <c r="K22" s="289">
        <v>0</v>
      </c>
      <c r="L22" s="292">
        <f>K22/60</f>
        <v>0</v>
      </c>
      <c r="M22" s="63">
        <f>'Tarifs de détail FT'!G17</f>
        <v>4.4</v>
      </c>
      <c r="N22" s="71">
        <f>I22*J22+(1-I22)*(J22+((F22-I22*H22)/(1-I22)-L22)*M22)</f>
        <v>45.46666666666667</v>
      </c>
      <c r="O22" s="63">
        <f>N22/F22</f>
        <v>5.4559999999999995</v>
      </c>
    </row>
    <row r="23" spans="3:15" ht="12.75">
      <c r="C23" s="21"/>
      <c r="D23" s="258"/>
      <c r="E23" s="110"/>
      <c r="F23" s="6"/>
      <c r="G23" s="110"/>
      <c r="H23" s="6"/>
      <c r="I23" s="258"/>
      <c r="J23" s="42"/>
      <c r="K23" s="290"/>
      <c r="L23" s="110"/>
      <c r="M23" s="42"/>
      <c r="N23" s="89" t="s">
        <v>181</v>
      </c>
      <c r="O23" s="296">
        <f>SUMPRODUCT(D21:D22,O21:O22)</f>
        <v>6.221771428571428</v>
      </c>
    </row>
    <row r="24" spans="3:14" ht="12.75">
      <c r="C24" s="21" t="s">
        <v>220</v>
      </c>
      <c r="D24" s="260"/>
      <c r="E24" s="135"/>
      <c r="G24" s="135"/>
      <c r="I24" s="260"/>
      <c r="J24" s="293"/>
      <c r="K24" s="135"/>
      <c r="L24" s="135"/>
      <c r="N24" s="208"/>
    </row>
    <row r="25" spans="3:15" ht="12.75">
      <c r="C25" s="58" t="s">
        <v>41</v>
      </c>
      <c r="D25" s="259">
        <f>'Profils d''appel'!D28</f>
        <v>0.97</v>
      </c>
      <c r="E25" s="284">
        <f>'Profils d''appel'!E28</f>
        <v>175</v>
      </c>
      <c r="F25" s="59">
        <f>E25/60</f>
        <v>2.9166666666666665</v>
      </c>
      <c r="G25" s="284">
        <f>'Profils d''appel'!H28</f>
        <v>10</v>
      </c>
      <c r="H25" s="59">
        <f>G25/60</f>
        <v>0.16666666666666666</v>
      </c>
      <c r="I25" s="259">
        <f>'Profils d''appel'!I28</f>
        <v>0.4534116279069767</v>
      </c>
      <c r="J25" s="60">
        <f>'Tarifs de détail FT'!D19</f>
        <v>7.6</v>
      </c>
      <c r="K25" s="288">
        <f>'Tarifs de détail FT'!E19</f>
        <v>20</v>
      </c>
      <c r="L25" s="291">
        <f>K25/60</f>
        <v>0.3333333333333333</v>
      </c>
      <c r="M25" s="60">
        <f>'Tarifs de détail FT'!F19</f>
        <v>6.1</v>
      </c>
      <c r="N25" s="68">
        <f>I25*J25+(1-I25)*(J25+((F25-I25*H25)/(1-I25)-L25)*M25)</f>
        <v>23.819301821705423</v>
      </c>
      <c r="O25" s="60">
        <f>N25/F25</f>
        <v>8.16661776744186</v>
      </c>
    </row>
    <row r="26" spans="3:15" ht="12.75">
      <c r="C26" s="61" t="s">
        <v>28</v>
      </c>
      <c r="D26" s="186">
        <f>1-D25</f>
        <v>0.030000000000000027</v>
      </c>
      <c r="E26" s="285">
        <f>'Profils d''appel'!E29</f>
        <v>210</v>
      </c>
      <c r="F26" s="62">
        <f>E26/60</f>
        <v>3.5</v>
      </c>
      <c r="G26" s="285">
        <f>'Profils d''appel'!H29</f>
        <v>10</v>
      </c>
      <c r="H26" s="69">
        <f>G26/60</f>
        <v>0.16666666666666666</v>
      </c>
      <c r="I26" s="186">
        <f>'Profils d''appel'!I29</f>
        <v>0.5</v>
      </c>
      <c r="J26" s="63">
        <f>'Tarifs de détail FT'!D19</f>
        <v>7.6</v>
      </c>
      <c r="K26" s="289">
        <f>'Tarifs de détail FT'!E19</f>
        <v>20</v>
      </c>
      <c r="L26" s="292">
        <f>K26/60</f>
        <v>0.3333333333333333</v>
      </c>
      <c r="M26" s="63">
        <f>'Tarifs de détail FT'!G19</f>
        <v>4.6</v>
      </c>
      <c r="N26" s="71">
        <f>I26*J26+(1-I26)*(J26+((F26-I26*H26)/(1-I26)-L26)*M26)</f>
        <v>22.55</v>
      </c>
      <c r="O26" s="63">
        <f>N26/F26</f>
        <v>6.442857142857143</v>
      </c>
    </row>
    <row r="27" spans="3:15" ht="12.75">
      <c r="C27" s="21"/>
      <c r="D27" s="258"/>
      <c r="E27" s="110"/>
      <c r="F27" s="6"/>
      <c r="G27" s="110"/>
      <c r="H27" s="6"/>
      <c r="I27" s="258"/>
      <c r="J27" s="42"/>
      <c r="K27" s="290"/>
      <c r="L27" s="110"/>
      <c r="M27" s="42"/>
      <c r="N27" s="89" t="s">
        <v>181</v>
      </c>
      <c r="O27" s="296">
        <f>SUMPRODUCT(D25:D26,O25:O26)</f>
        <v>8.114904948704318</v>
      </c>
    </row>
    <row r="28" spans="4:14" ht="12.75">
      <c r="D28" s="260"/>
      <c r="E28" s="135"/>
      <c r="G28" s="135"/>
      <c r="I28" s="260"/>
      <c r="J28" s="293"/>
      <c r="K28" s="135"/>
      <c r="L28" s="135"/>
      <c r="N28" s="208"/>
    </row>
    <row r="29" spans="3:15" ht="3" customHeight="1">
      <c r="C29" s="19"/>
      <c r="D29" s="179"/>
      <c r="E29" s="136"/>
      <c r="F29" s="20"/>
      <c r="G29" s="136"/>
      <c r="H29" s="20"/>
      <c r="I29" s="179"/>
      <c r="J29" s="294"/>
      <c r="K29" s="136"/>
      <c r="L29" s="136"/>
      <c r="M29" s="20"/>
      <c r="N29" s="20"/>
      <c r="O29" s="20"/>
    </row>
    <row r="30" spans="4:15" ht="12.75">
      <c r="D30" s="197" t="s">
        <v>265</v>
      </c>
      <c r="E30" s="137"/>
      <c r="F30" s="18"/>
      <c r="G30" s="137"/>
      <c r="H30" s="18"/>
      <c r="I30" s="181"/>
      <c r="J30" s="295"/>
      <c r="K30" s="137"/>
      <c r="L30" s="137"/>
      <c r="M30" s="18"/>
      <c r="N30" s="18"/>
      <c r="O30" s="18"/>
    </row>
    <row r="31" spans="3:15" ht="12.75">
      <c r="C31" s="206" t="s">
        <v>11</v>
      </c>
      <c r="D31" s="260"/>
      <c r="E31" s="137"/>
      <c r="F31" s="18"/>
      <c r="G31" s="137"/>
      <c r="H31" s="18"/>
      <c r="I31" s="181"/>
      <c r="J31" s="295"/>
      <c r="K31" s="137"/>
      <c r="L31" s="137"/>
      <c r="M31" s="18"/>
      <c r="N31" s="18"/>
      <c r="O31" s="18"/>
    </row>
    <row r="32" spans="3:15" ht="12.75">
      <c r="C32" s="58" t="s">
        <v>45</v>
      </c>
      <c r="D32" s="259">
        <f>'Profils d''appel'!D35</f>
        <v>0.75</v>
      </c>
      <c r="E32" s="284">
        <f>'Profils d''appel'!E35</f>
        <v>112</v>
      </c>
      <c r="F32" s="59">
        <f>E32/60</f>
        <v>1.8666666666666667</v>
      </c>
      <c r="G32" s="284">
        <v>0</v>
      </c>
      <c r="H32" s="286">
        <f>G32/60</f>
        <v>0</v>
      </c>
      <c r="I32" s="259">
        <v>0</v>
      </c>
      <c r="J32" s="60">
        <f>'Tarifs de détail FT'!D25</f>
        <v>15</v>
      </c>
      <c r="K32" s="288">
        <v>0</v>
      </c>
      <c r="L32" s="291">
        <f>K32/60</f>
        <v>0</v>
      </c>
      <c r="M32" s="60">
        <f>'Tarifs de détail FT'!F25</f>
        <v>9.1</v>
      </c>
      <c r="N32" s="68">
        <f>I32*J32+(1-I32)*(J32+((F32-I32*H32)/(1-I32)-L32)*M32)</f>
        <v>31.986666666666665</v>
      </c>
      <c r="O32" s="60">
        <f>N32/F32</f>
        <v>17.135714285714283</v>
      </c>
    </row>
    <row r="33" spans="3:15" ht="12.75">
      <c r="C33" s="61" t="s">
        <v>47</v>
      </c>
      <c r="D33" s="186">
        <f>1-D32</f>
        <v>0.25</v>
      </c>
      <c r="E33" s="285">
        <f>'Profils d''appel'!E36</f>
        <v>112</v>
      </c>
      <c r="F33" s="62">
        <f>E33/60</f>
        <v>1.8666666666666667</v>
      </c>
      <c r="G33" s="285">
        <v>0</v>
      </c>
      <c r="H33" s="287">
        <f>G33/60</f>
        <v>0</v>
      </c>
      <c r="I33" s="186">
        <v>0</v>
      </c>
      <c r="J33" s="63">
        <f>'Tarifs de détail FT'!D25</f>
        <v>15</v>
      </c>
      <c r="K33" s="289">
        <v>0</v>
      </c>
      <c r="L33" s="292">
        <f>K33/60</f>
        <v>0</v>
      </c>
      <c r="M33" s="63">
        <f>'Tarifs de détail FT'!G25</f>
        <v>5</v>
      </c>
      <c r="N33" s="71">
        <f>I33*J33+(1-I33)*(J33+((F33-I33*H33)/(1-I33)-L33)*M33)</f>
        <v>24.333333333333336</v>
      </c>
      <c r="O33" s="63">
        <f>N33/F33</f>
        <v>13.035714285714286</v>
      </c>
    </row>
    <row r="34" spans="3:15" ht="12.75">
      <c r="C34" s="21"/>
      <c r="D34" s="258"/>
      <c r="E34" s="110"/>
      <c r="F34" s="6"/>
      <c r="G34" s="110"/>
      <c r="H34" s="110"/>
      <c r="I34" s="258"/>
      <c r="J34" s="42"/>
      <c r="K34" s="290"/>
      <c r="L34" s="110"/>
      <c r="M34" s="42"/>
      <c r="N34" s="89" t="s">
        <v>181</v>
      </c>
      <c r="O34" s="296">
        <f>SUMPRODUCT(D32:D33,O32:O33)</f>
        <v>16.110714285714284</v>
      </c>
    </row>
    <row r="35" spans="3:14" ht="12.75">
      <c r="C35" s="21" t="s">
        <v>220</v>
      </c>
      <c r="D35" s="260"/>
      <c r="E35" s="135"/>
      <c r="G35" s="135"/>
      <c r="H35" s="135"/>
      <c r="I35" s="260"/>
      <c r="J35" s="293"/>
      <c r="K35" s="135"/>
      <c r="L35" s="135"/>
      <c r="N35" s="208"/>
    </row>
    <row r="36" spans="3:15" ht="12.75">
      <c r="C36" s="58" t="s">
        <v>41</v>
      </c>
      <c r="D36" s="259">
        <f>'Profils d''appel'!D40</f>
        <v>0.9</v>
      </c>
      <c r="E36" s="284">
        <f>'Profils d''appel'!E40</f>
        <v>105</v>
      </c>
      <c r="F36" s="59">
        <f>E36/60</f>
        <v>1.75</v>
      </c>
      <c r="G36" s="284">
        <v>0</v>
      </c>
      <c r="H36" s="286">
        <f>G36/60</f>
        <v>0</v>
      </c>
      <c r="I36" s="259">
        <v>0</v>
      </c>
      <c r="J36" s="60">
        <f>'Tarifs de détail FT'!D27</f>
        <v>17.5</v>
      </c>
      <c r="K36" s="288">
        <v>0</v>
      </c>
      <c r="L36" s="291">
        <f>K36/60</f>
        <v>0</v>
      </c>
      <c r="M36" s="60">
        <f>'Tarifs de détail FT'!F27</f>
        <v>9</v>
      </c>
      <c r="N36" s="68">
        <f>I36*J36+(1-I36)*(J36+((F36-I36*H36)/(1-I36)-L36)*M36)</f>
        <v>33.25</v>
      </c>
      <c r="O36" s="60">
        <f>N36/F36</f>
        <v>19</v>
      </c>
    </row>
    <row r="37" spans="3:15" ht="12.75">
      <c r="C37" s="61" t="s">
        <v>28</v>
      </c>
      <c r="D37" s="186">
        <f>1-D36</f>
        <v>0.09999999999999998</v>
      </c>
      <c r="E37" s="285">
        <f>'Profils d''appel'!E41</f>
        <v>105</v>
      </c>
      <c r="F37" s="62">
        <f>E37/60</f>
        <v>1.75</v>
      </c>
      <c r="G37" s="285">
        <v>0</v>
      </c>
      <c r="H37" s="287">
        <f>G37/60</f>
        <v>0</v>
      </c>
      <c r="I37" s="186">
        <v>0</v>
      </c>
      <c r="J37" s="63">
        <f>'Tarifs de détail FT'!D27</f>
        <v>17.5</v>
      </c>
      <c r="K37" s="289">
        <v>0</v>
      </c>
      <c r="L37" s="292">
        <f>K37/60</f>
        <v>0</v>
      </c>
      <c r="M37" s="63">
        <f>'Tarifs de détail FT'!G27</f>
        <v>9</v>
      </c>
      <c r="N37" s="71">
        <f>I37*J37+(1-I37)*(J37+((F37-I37*H37)/(1-I37)-L37)*M37)</f>
        <v>33.25</v>
      </c>
      <c r="O37" s="63">
        <f>N37/F37</f>
        <v>19</v>
      </c>
    </row>
    <row r="38" spans="3:15" ht="12.75">
      <c r="C38" s="21"/>
      <c r="D38" s="258"/>
      <c r="E38" s="110"/>
      <c r="F38" s="6"/>
      <c r="G38" s="110"/>
      <c r="H38" s="110"/>
      <c r="I38" s="258"/>
      <c r="J38" s="42"/>
      <c r="K38" s="290"/>
      <c r="L38" s="110"/>
      <c r="M38" s="42"/>
      <c r="N38" s="89" t="s">
        <v>181</v>
      </c>
      <c r="O38" s="296">
        <f>SUMPRODUCT(D36:D37,O36:O37)</f>
        <v>19</v>
      </c>
    </row>
    <row r="39" spans="4:14" ht="12.75">
      <c r="D39" s="260"/>
      <c r="E39" s="135"/>
      <c r="G39" s="135"/>
      <c r="H39" s="135"/>
      <c r="I39" s="260"/>
      <c r="J39" s="293"/>
      <c r="K39" s="135"/>
      <c r="L39" s="135"/>
      <c r="N39" s="208"/>
    </row>
    <row r="40" spans="3:15" ht="3" customHeight="1">
      <c r="C40" s="19"/>
      <c r="D40" s="179"/>
      <c r="E40" s="136"/>
      <c r="F40" s="20"/>
      <c r="G40" s="136"/>
      <c r="H40" s="136"/>
      <c r="I40" s="179"/>
      <c r="J40" s="294"/>
      <c r="K40" s="136"/>
      <c r="L40" s="136"/>
      <c r="M40" s="20"/>
      <c r="N40" s="20"/>
      <c r="O40" s="20"/>
    </row>
    <row r="41" spans="4:15" ht="12.75">
      <c r="D41" s="197" t="s">
        <v>266</v>
      </c>
      <c r="E41" s="137"/>
      <c r="F41" s="18"/>
      <c r="G41" s="137"/>
      <c r="H41" s="137"/>
      <c r="I41" s="181"/>
      <c r="J41" s="295"/>
      <c r="K41" s="137"/>
      <c r="L41" s="137"/>
      <c r="M41" s="18"/>
      <c r="N41" s="18"/>
      <c r="O41" s="18"/>
    </row>
    <row r="42" spans="3:15" ht="12.75">
      <c r="C42" s="206" t="s">
        <v>11</v>
      </c>
      <c r="D42" s="260"/>
      <c r="E42" s="137"/>
      <c r="F42" s="18"/>
      <c r="G42" s="137"/>
      <c r="H42" s="137"/>
      <c r="I42" s="181"/>
      <c r="J42" s="295"/>
      <c r="K42" s="137"/>
      <c r="L42" s="137"/>
      <c r="M42" s="18"/>
      <c r="N42" s="18"/>
      <c r="O42" s="18"/>
    </row>
    <row r="43" spans="3:15" ht="12.75">
      <c r="C43" s="58" t="s">
        <v>45</v>
      </c>
      <c r="D43" s="259">
        <f>'Profils d''appel'!D35</f>
        <v>0.75</v>
      </c>
      <c r="E43" s="284">
        <f>'Profils d''appel'!E35</f>
        <v>112</v>
      </c>
      <c r="F43" s="59">
        <f>E43/60</f>
        <v>1.8666666666666667</v>
      </c>
      <c r="G43" s="284">
        <v>0</v>
      </c>
      <c r="H43" s="286">
        <f>G43/60</f>
        <v>0</v>
      </c>
      <c r="I43" s="259">
        <v>0</v>
      </c>
      <c r="J43" s="60">
        <f>'Tarifs de détail FT'!D30</f>
        <v>15</v>
      </c>
      <c r="K43" s="288">
        <v>0</v>
      </c>
      <c r="L43" s="291">
        <f>K43/60</f>
        <v>0</v>
      </c>
      <c r="M43" s="60">
        <f>'Tarifs de détail FT'!F30</f>
        <v>12.2</v>
      </c>
      <c r="N43" s="68">
        <f>I43*J43+(1-I43)*(J43+((F43-I43*H43)/(1-I43)-L43)*M43)</f>
        <v>37.77333333333333</v>
      </c>
      <c r="O43" s="60">
        <f>N43/F43</f>
        <v>20.235714285714284</v>
      </c>
    </row>
    <row r="44" spans="3:15" ht="12.75">
      <c r="C44" s="61" t="s">
        <v>47</v>
      </c>
      <c r="D44" s="186">
        <f>1-D43</f>
        <v>0.25</v>
      </c>
      <c r="E44" s="285">
        <f>'Profils d''appel'!E36</f>
        <v>112</v>
      </c>
      <c r="F44" s="62">
        <f>E44/60</f>
        <v>1.8666666666666667</v>
      </c>
      <c r="G44" s="285">
        <v>0</v>
      </c>
      <c r="H44" s="287">
        <f>G44/60</f>
        <v>0</v>
      </c>
      <c r="I44" s="186">
        <v>0</v>
      </c>
      <c r="J44" s="63">
        <f>'Tarifs de détail FT'!D30</f>
        <v>15</v>
      </c>
      <c r="K44" s="289">
        <v>0</v>
      </c>
      <c r="L44" s="292">
        <f>K44/60</f>
        <v>0</v>
      </c>
      <c r="M44" s="63">
        <f>'Tarifs de détail FT'!G30</f>
        <v>6.6</v>
      </c>
      <c r="N44" s="71">
        <f>I44*J44+(1-I44)*(J44+((F44-I44*H44)/(1-I44)-L44)*M44)</f>
        <v>27.32</v>
      </c>
      <c r="O44" s="63">
        <f>N44/F44</f>
        <v>14.635714285714286</v>
      </c>
    </row>
    <row r="45" spans="3:15" ht="12.75">
      <c r="C45" s="21"/>
      <c r="D45" s="258"/>
      <c r="E45" s="110"/>
      <c r="F45" s="6"/>
      <c r="G45" s="110"/>
      <c r="H45" s="110"/>
      <c r="I45" s="258"/>
      <c r="J45" s="42"/>
      <c r="K45" s="290"/>
      <c r="L45" s="110"/>
      <c r="M45" s="42"/>
      <c r="N45" s="89" t="s">
        <v>181</v>
      </c>
      <c r="O45" s="296">
        <f>SUMPRODUCT(D43:D44,O43:O44)</f>
        <v>18.835714285714285</v>
      </c>
    </row>
    <row r="46" spans="3:14" ht="12.75">
      <c r="C46" s="21" t="s">
        <v>220</v>
      </c>
      <c r="D46" s="260"/>
      <c r="E46" s="135"/>
      <c r="G46" s="135"/>
      <c r="H46" s="135"/>
      <c r="I46" s="260"/>
      <c r="J46" s="293"/>
      <c r="K46" s="135"/>
      <c r="L46" s="135"/>
      <c r="N46" s="208"/>
    </row>
    <row r="47" spans="3:15" ht="12.75">
      <c r="C47" s="58" t="s">
        <v>41</v>
      </c>
      <c r="D47" s="259">
        <f>'Profils d''appel'!D40</f>
        <v>0.9</v>
      </c>
      <c r="E47" s="284">
        <f>'Profils d''appel'!E40</f>
        <v>105</v>
      </c>
      <c r="F47" s="59">
        <f>E47/60</f>
        <v>1.75</v>
      </c>
      <c r="G47" s="284">
        <v>0</v>
      </c>
      <c r="H47" s="286">
        <f>G47/60</f>
        <v>0</v>
      </c>
      <c r="I47" s="259">
        <v>0</v>
      </c>
      <c r="J47" s="60">
        <f>'Tarifs de détail FT'!D32</f>
        <v>17.5</v>
      </c>
      <c r="K47" s="288">
        <v>0</v>
      </c>
      <c r="L47" s="291">
        <f>K47/60</f>
        <v>0</v>
      </c>
      <c r="M47" s="60">
        <f>'Tarifs de détail FT'!F32</f>
        <v>11.4</v>
      </c>
      <c r="N47" s="68">
        <f>I47*J47+(1-I47)*(J47+((F47-I47*H47)/(1-I47)-L47)*M47)</f>
        <v>37.45</v>
      </c>
      <c r="O47" s="60">
        <f>N47/F47</f>
        <v>21.400000000000002</v>
      </c>
    </row>
    <row r="48" spans="3:15" ht="12.75">
      <c r="C48" s="61" t="s">
        <v>28</v>
      </c>
      <c r="D48" s="186">
        <f>1-D47</f>
        <v>0.09999999999999998</v>
      </c>
      <c r="E48" s="285">
        <f>'Profils d''appel'!E41</f>
        <v>105</v>
      </c>
      <c r="F48" s="62">
        <f>E48/60</f>
        <v>1.75</v>
      </c>
      <c r="G48" s="285">
        <v>0</v>
      </c>
      <c r="H48" s="287">
        <f>G48/60</f>
        <v>0</v>
      </c>
      <c r="I48" s="186">
        <v>0</v>
      </c>
      <c r="J48" s="63">
        <f>'Tarifs de détail FT'!D32</f>
        <v>17.5</v>
      </c>
      <c r="K48" s="289">
        <v>0</v>
      </c>
      <c r="L48" s="292">
        <f>K48/60</f>
        <v>0</v>
      </c>
      <c r="M48" s="63">
        <f>'Tarifs de détail FT'!G32</f>
        <v>11.4</v>
      </c>
      <c r="N48" s="71">
        <f>I48*J48+(1-I48)*(J48+((F48-I48*H48)/(1-I48)-L48)*M48)</f>
        <v>37.45</v>
      </c>
      <c r="O48" s="63">
        <f>N48/F48</f>
        <v>21.400000000000002</v>
      </c>
    </row>
    <row r="49" spans="3:15" ht="12.75">
      <c r="C49" s="21"/>
      <c r="D49" s="44"/>
      <c r="E49" s="6"/>
      <c r="F49" s="6"/>
      <c r="G49" s="6"/>
      <c r="H49" s="6"/>
      <c r="I49" s="6"/>
      <c r="J49" s="42"/>
      <c r="K49" s="72"/>
      <c r="L49" s="110"/>
      <c r="M49" s="42"/>
      <c r="N49" s="89" t="s">
        <v>181</v>
      </c>
      <c r="O49" s="296">
        <f>SUMPRODUCT(D47:D48,O47:O48)</f>
        <v>21.400000000000002</v>
      </c>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L87"/>
  <sheetViews>
    <sheetView workbookViewId="0" topLeftCell="A1">
      <selection activeCell="A1" sqref="A1"/>
    </sheetView>
  </sheetViews>
  <sheetFormatPr defaultColWidth="11.421875" defaultRowHeight="12.75"/>
  <cols>
    <col min="1" max="1" width="2.7109375" style="1" customWidth="1"/>
    <col min="2" max="2" width="4.7109375" style="1" customWidth="1"/>
    <col min="3" max="3" width="18.28125" style="1" customWidth="1"/>
    <col min="4" max="5" width="11.421875" style="1" customWidth="1"/>
    <col min="6" max="6" width="10.7109375" style="1" customWidth="1"/>
    <col min="7" max="7" width="6.421875" style="1" customWidth="1"/>
    <col min="8" max="8" width="7.28125" style="1" customWidth="1"/>
    <col min="9" max="16384" width="11.421875" style="1" customWidth="1"/>
  </cols>
  <sheetData>
    <row r="1" spans="2:9" ht="18" customHeight="1">
      <c r="B1" s="2"/>
      <c r="C1" s="6"/>
      <c r="D1" s="6"/>
      <c r="E1" s="6"/>
      <c r="F1" s="6"/>
      <c r="G1" s="6"/>
      <c r="H1" s="6"/>
      <c r="I1" s="6"/>
    </row>
    <row r="2" spans="2:9" ht="12.75">
      <c r="B2" s="3"/>
      <c r="C2" s="3" t="s">
        <v>221</v>
      </c>
      <c r="D2" s="3"/>
      <c r="E2" s="47"/>
      <c r="F2" s="47"/>
      <c r="G2" s="47"/>
      <c r="H2" s="4"/>
      <c r="I2" s="4"/>
    </row>
    <row r="4" spans="2:9" ht="12.75">
      <c r="B4" s="21" t="s">
        <v>226</v>
      </c>
      <c r="D4" s="6"/>
      <c r="E4" s="6"/>
      <c r="F4" s="6"/>
      <c r="G4" s="6"/>
      <c r="H4" s="6"/>
      <c r="I4" s="6"/>
    </row>
    <row r="5" spans="2:9" ht="12.75">
      <c r="B5" s="2"/>
      <c r="C5" s="6" t="s">
        <v>43</v>
      </c>
      <c r="D5" s="6"/>
      <c r="E5" s="6"/>
      <c r="F5" s="6" t="s">
        <v>44</v>
      </c>
      <c r="G5" s="6" t="s">
        <v>45</v>
      </c>
      <c r="H5" s="6">
        <v>0.00114</v>
      </c>
      <c r="I5" s="6" t="s">
        <v>46</v>
      </c>
    </row>
    <row r="6" spans="2:9" ht="12.75">
      <c r="B6" s="2"/>
      <c r="C6" s="6" t="s">
        <v>43</v>
      </c>
      <c r="D6" s="6"/>
      <c r="E6" s="6"/>
      <c r="F6" s="6" t="s">
        <v>44</v>
      </c>
      <c r="G6" s="6" t="s">
        <v>47</v>
      </c>
      <c r="H6" s="6">
        <v>0.00073</v>
      </c>
      <c r="I6" s="6" t="s">
        <v>46</v>
      </c>
    </row>
    <row r="7" spans="2:9" ht="12.75">
      <c r="B7" s="2"/>
      <c r="C7" s="6" t="s">
        <v>43</v>
      </c>
      <c r="D7" s="6"/>
      <c r="E7" s="6"/>
      <c r="F7" s="6" t="s">
        <v>44</v>
      </c>
      <c r="G7" s="6" t="s">
        <v>48</v>
      </c>
      <c r="H7" s="6">
        <v>0.00049</v>
      </c>
      <c r="I7" s="6" t="s">
        <v>46</v>
      </c>
    </row>
    <row r="8" spans="2:9" ht="12.75">
      <c r="B8" s="2"/>
      <c r="C8" s="6" t="s">
        <v>49</v>
      </c>
      <c r="D8" s="6"/>
      <c r="E8" s="6"/>
      <c r="F8" s="6" t="s">
        <v>44</v>
      </c>
      <c r="G8" s="6" t="s">
        <v>45</v>
      </c>
      <c r="H8" s="6">
        <v>0.00496</v>
      </c>
      <c r="I8" s="6" t="s">
        <v>50</v>
      </c>
    </row>
    <row r="9" spans="2:9" ht="12.75">
      <c r="B9" s="2"/>
      <c r="C9" s="6" t="s">
        <v>49</v>
      </c>
      <c r="D9" s="6"/>
      <c r="E9" s="6"/>
      <c r="F9" s="6" t="s">
        <v>44</v>
      </c>
      <c r="G9" s="6" t="s">
        <v>47</v>
      </c>
      <c r="H9" s="6">
        <v>0.0032</v>
      </c>
      <c r="I9" s="6" t="s">
        <v>50</v>
      </c>
    </row>
    <row r="10" spans="2:9" ht="12.75">
      <c r="B10" s="2"/>
      <c r="C10" s="6" t="s">
        <v>49</v>
      </c>
      <c r="D10" s="6"/>
      <c r="E10" s="6"/>
      <c r="F10" s="6" t="s">
        <v>44</v>
      </c>
      <c r="G10" s="6" t="s">
        <v>48</v>
      </c>
      <c r="H10" s="6">
        <v>0.00213</v>
      </c>
      <c r="I10" s="6" t="s">
        <v>50</v>
      </c>
    </row>
    <row r="11" spans="2:9" ht="12.75">
      <c r="B11" s="2"/>
      <c r="C11" s="6" t="s">
        <v>43</v>
      </c>
      <c r="D11" s="6"/>
      <c r="E11" s="6"/>
      <c r="F11" s="6" t="s">
        <v>51</v>
      </c>
      <c r="G11" s="6" t="s">
        <v>45</v>
      </c>
      <c r="H11" s="6">
        <v>0.00358</v>
      </c>
      <c r="I11" s="6" t="s">
        <v>46</v>
      </c>
    </row>
    <row r="12" spans="2:9" ht="12.75">
      <c r="B12" s="2"/>
      <c r="C12" s="6" t="s">
        <v>43</v>
      </c>
      <c r="D12" s="6"/>
      <c r="E12" s="6"/>
      <c r="F12" s="6" t="s">
        <v>51</v>
      </c>
      <c r="G12" s="6" t="s">
        <v>47</v>
      </c>
      <c r="H12" s="6">
        <v>0.0023</v>
      </c>
      <c r="I12" s="6" t="s">
        <v>46</v>
      </c>
    </row>
    <row r="13" spans="2:9" ht="12.75">
      <c r="B13" s="2"/>
      <c r="C13" s="6" t="s">
        <v>43</v>
      </c>
      <c r="D13" s="6"/>
      <c r="E13" s="6"/>
      <c r="F13" s="6" t="s">
        <v>51</v>
      </c>
      <c r="G13" s="6" t="s">
        <v>48</v>
      </c>
      <c r="H13" s="6">
        <v>0.00153</v>
      </c>
      <c r="I13" s="6" t="s">
        <v>46</v>
      </c>
    </row>
    <row r="14" spans="2:9" ht="12.75">
      <c r="B14" s="2"/>
      <c r="C14" s="6" t="s">
        <v>49</v>
      </c>
      <c r="D14" s="6"/>
      <c r="E14" s="6"/>
      <c r="F14" s="6" t="s">
        <v>51</v>
      </c>
      <c r="G14" s="6" t="s">
        <v>45</v>
      </c>
      <c r="H14" s="6">
        <v>0.00883</v>
      </c>
      <c r="I14" s="6" t="s">
        <v>50</v>
      </c>
    </row>
    <row r="15" spans="2:9" ht="12.75">
      <c r="B15" s="2"/>
      <c r="C15" s="6" t="s">
        <v>49</v>
      </c>
      <c r="D15" s="6"/>
      <c r="E15" s="6"/>
      <c r="F15" s="6" t="s">
        <v>51</v>
      </c>
      <c r="G15" s="6" t="s">
        <v>47</v>
      </c>
      <c r="H15" s="6">
        <v>0.00569</v>
      </c>
      <c r="I15" s="6" t="s">
        <v>50</v>
      </c>
    </row>
    <row r="16" spans="2:9" ht="12.75">
      <c r="B16" s="2"/>
      <c r="C16" s="6" t="s">
        <v>49</v>
      </c>
      <c r="D16" s="6"/>
      <c r="E16" s="6"/>
      <c r="F16" s="6" t="s">
        <v>51</v>
      </c>
      <c r="G16" s="6" t="s">
        <v>48</v>
      </c>
      <c r="H16" s="6">
        <v>0.00379</v>
      </c>
      <c r="I16" s="6" t="s">
        <v>50</v>
      </c>
    </row>
    <row r="17" spans="2:9" ht="12.75">
      <c r="B17" s="2"/>
      <c r="C17" s="6" t="s">
        <v>52</v>
      </c>
      <c r="D17" s="6"/>
      <c r="E17" s="6"/>
      <c r="F17" s="6" t="s">
        <v>44</v>
      </c>
      <c r="G17" s="6"/>
      <c r="H17" s="6">
        <v>3231.2</v>
      </c>
      <c r="I17" s="6" t="s">
        <v>53</v>
      </c>
    </row>
    <row r="18" spans="2:9" ht="12.75">
      <c r="B18" s="2"/>
      <c r="C18" s="6" t="s">
        <v>52</v>
      </c>
      <c r="D18" s="6"/>
      <c r="E18" s="6"/>
      <c r="F18" s="6" t="s">
        <v>51</v>
      </c>
      <c r="G18" s="6"/>
      <c r="H18" s="6">
        <v>3904.4</v>
      </c>
      <c r="I18" s="6" t="s">
        <v>53</v>
      </c>
    </row>
    <row r="19" ht="12.75">
      <c r="B19" s="2"/>
    </row>
    <row r="20" spans="2:9" ht="12.75">
      <c r="B20" s="21" t="s">
        <v>274</v>
      </c>
      <c r="D20" s="6"/>
      <c r="E20" s="6"/>
      <c r="F20" s="6"/>
      <c r="G20" s="6"/>
      <c r="H20" s="6"/>
      <c r="I20" s="6"/>
    </row>
    <row r="21" spans="2:9" ht="12.75">
      <c r="B21" s="2"/>
      <c r="C21" s="6" t="s">
        <v>54</v>
      </c>
      <c r="D21" s="6" t="s">
        <v>55</v>
      </c>
      <c r="E21" s="6"/>
      <c r="F21" s="6"/>
      <c r="G21" s="6"/>
      <c r="H21" s="6">
        <v>1959</v>
      </c>
      <c r="I21" s="6" t="s">
        <v>56</v>
      </c>
    </row>
    <row r="22" spans="2:9" ht="12.75">
      <c r="B22" s="2"/>
      <c r="C22" s="6" t="s">
        <v>57</v>
      </c>
      <c r="D22" s="6" t="s">
        <v>55</v>
      </c>
      <c r="E22" s="6"/>
      <c r="F22" s="6"/>
      <c r="G22" s="6"/>
      <c r="H22" s="6">
        <v>468</v>
      </c>
      <c r="I22" s="6" t="s">
        <v>56</v>
      </c>
    </row>
    <row r="23" spans="2:9" ht="12.75">
      <c r="B23" s="2"/>
      <c r="C23" s="6" t="s">
        <v>57</v>
      </c>
      <c r="D23" s="6" t="s">
        <v>58</v>
      </c>
      <c r="E23" s="6"/>
      <c r="F23" s="6"/>
      <c r="G23" s="6"/>
      <c r="H23" s="6">
        <v>747</v>
      </c>
      <c r="I23" s="6" t="s">
        <v>53</v>
      </c>
    </row>
    <row r="24" spans="2:9" ht="12.75">
      <c r="B24" s="2"/>
      <c r="C24" s="6" t="s">
        <v>54</v>
      </c>
      <c r="D24" s="6" t="s">
        <v>59</v>
      </c>
      <c r="E24" s="6" t="s">
        <v>60</v>
      </c>
      <c r="F24" s="6" t="s">
        <v>44</v>
      </c>
      <c r="G24" s="6"/>
      <c r="H24" s="6">
        <v>2351.3</v>
      </c>
      <c r="I24" s="6" t="s">
        <v>53</v>
      </c>
    </row>
    <row r="25" spans="2:9" ht="12.75">
      <c r="B25" s="2"/>
      <c r="C25" s="6" t="s">
        <v>54</v>
      </c>
      <c r="D25" s="6" t="s">
        <v>59</v>
      </c>
      <c r="E25" s="6" t="s">
        <v>61</v>
      </c>
      <c r="F25" s="6" t="s">
        <v>44</v>
      </c>
      <c r="G25" s="6"/>
      <c r="H25" s="6">
        <v>186.1</v>
      </c>
      <c r="I25" s="6" t="s">
        <v>53</v>
      </c>
    </row>
    <row r="26" spans="2:9" ht="12.75">
      <c r="B26" s="2"/>
      <c r="C26" s="6" t="s">
        <v>54</v>
      </c>
      <c r="D26" s="6" t="s">
        <v>59</v>
      </c>
      <c r="E26" s="6" t="s">
        <v>60</v>
      </c>
      <c r="F26" s="6" t="s">
        <v>51</v>
      </c>
      <c r="G26" s="6"/>
      <c r="H26" s="6">
        <v>2415.4</v>
      </c>
      <c r="I26" s="6" t="s">
        <v>53</v>
      </c>
    </row>
    <row r="27" spans="2:9" ht="12.75">
      <c r="B27" s="2"/>
      <c r="C27" s="6" t="s">
        <v>54</v>
      </c>
      <c r="D27" s="6" t="s">
        <v>59</v>
      </c>
      <c r="E27" s="6" t="s">
        <v>61</v>
      </c>
      <c r="F27" s="6" t="s">
        <v>51</v>
      </c>
      <c r="G27" s="6"/>
      <c r="H27" s="6">
        <v>73.4</v>
      </c>
      <c r="I27" s="6" t="s">
        <v>53</v>
      </c>
    </row>
    <row r="28" spans="2:9" ht="12.75">
      <c r="B28" s="2"/>
      <c r="C28" s="6"/>
      <c r="D28" s="6"/>
      <c r="E28" s="6"/>
      <c r="F28" s="6"/>
      <c r="G28" s="6"/>
      <c r="H28" s="6"/>
      <c r="I28" s="6"/>
    </row>
    <row r="29" spans="2:12" ht="12.75">
      <c r="B29" s="21" t="s">
        <v>222</v>
      </c>
      <c r="D29" s="74"/>
      <c r="E29" s="6"/>
      <c r="F29" s="6"/>
      <c r="G29" s="6"/>
      <c r="H29" s="6"/>
      <c r="I29" s="6"/>
      <c r="K29" s="23"/>
      <c r="L29" s="23"/>
    </row>
    <row r="30" spans="2:9" ht="12.75">
      <c r="B30" s="2"/>
      <c r="C30" s="6" t="s">
        <v>223</v>
      </c>
      <c r="D30" s="6" t="s">
        <v>55</v>
      </c>
      <c r="E30" s="6"/>
      <c r="F30" s="6"/>
      <c r="G30" s="6"/>
      <c r="H30" s="6">
        <v>1106.5</v>
      </c>
      <c r="I30" s="6" t="s">
        <v>56</v>
      </c>
    </row>
    <row r="31" spans="2:9" ht="12.75">
      <c r="B31" s="2"/>
      <c r="C31" s="6" t="s">
        <v>223</v>
      </c>
      <c r="D31" s="6" t="s">
        <v>59</v>
      </c>
      <c r="E31" s="6" t="s">
        <v>60</v>
      </c>
      <c r="F31" s="6"/>
      <c r="G31" s="6"/>
      <c r="H31" s="6">
        <v>300.8</v>
      </c>
      <c r="I31" s="6" t="s">
        <v>224</v>
      </c>
    </row>
    <row r="32" spans="2:9" ht="12.75">
      <c r="B32" s="2"/>
      <c r="C32" s="6" t="s">
        <v>223</v>
      </c>
      <c r="D32" s="6" t="s">
        <v>59</v>
      </c>
      <c r="E32" s="6" t="s">
        <v>61</v>
      </c>
      <c r="F32" s="6"/>
      <c r="G32" s="6"/>
      <c r="H32" s="6">
        <v>11.9</v>
      </c>
      <c r="I32" s="6" t="s">
        <v>224</v>
      </c>
    </row>
    <row r="33" spans="2:9" ht="12.75">
      <c r="B33" s="2"/>
      <c r="C33" s="6" t="s">
        <v>225</v>
      </c>
      <c r="D33" s="6"/>
      <c r="E33" s="6"/>
      <c r="F33" s="6"/>
      <c r="G33" s="6"/>
      <c r="H33" s="6">
        <v>71</v>
      </c>
      <c r="I33" s="6" t="s">
        <v>224</v>
      </c>
    </row>
    <row r="34" spans="2:9" ht="12.75">
      <c r="B34" s="2"/>
      <c r="C34" s="2"/>
      <c r="D34" s="2"/>
      <c r="E34" s="2"/>
      <c r="F34" s="2"/>
      <c r="G34" s="6"/>
      <c r="H34" s="6"/>
      <c r="I34" s="6"/>
    </row>
    <row r="35" spans="2:9" ht="12.75">
      <c r="B35" s="3"/>
      <c r="C35" s="3" t="s">
        <v>177</v>
      </c>
      <c r="D35" s="3"/>
      <c r="E35" s="47"/>
      <c r="F35" s="47"/>
      <c r="G35" s="47"/>
      <c r="H35" s="47"/>
      <c r="I35" s="4"/>
    </row>
    <row r="36" spans="2:9" ht="12.75">
      <c r="B36" s="2"/>
      <c r="C36" s="6"/>
      <c r="D36" s="6"/>
      <c r="E36" s="6"/>
      <c r="F36" s="6"/>
      <c r="G36" s="6"/>
      <c r="H36" s="6"/>
      <c r="I36" s="6"/>
    </row>
    <row r="37" spans="2:9" ht="12.75">
      <c r="B37" s="21" t="s">
        <v>252</v>
      </c>
      <c r="C37" s="6"/>
      <c r="D37" s="89" t="s">
        <v>251</v>
      </c>
      <c r="G37" s="6"/>
      <c r="H37" s="6"/>
      <c r="I37" s="6"/>
    </row>
    <row r="38" spans="2:9" ht="12.75">
      <c r="B38" s="2"/>
      <c r="C38" s="76" t="s">
        <v>64</v>
      </c>
      <c r="D38" s="191">
        <v>9.5</v>
      </c>
      <c r="G38" s="6"/>
      <c r="H38" s="6"/>
      <c r="I38" s="6"/>
    </row>
    <row r="39" spans="2:9" ht="12.75">
      <c r="B39" s="2"/>
      <c r="C39" s="77" t="s">
        <v>65</v>
      </c>
      <c r="D39" s="123">
        <v>9.5</v>
      </c>
      <c r="G39" s="18"/>
      <c r="H39" s="6"/>
      <c r="I39" s="6"/>
    </row>
    <row r="40" spans="2:9" ht="12.75">
      <c r="B40" s="2"/>
      <c r="C40" s="78" t="s">
        <v>32</v>
      </c>
      <c r="D40" s="192">
        <v>11.24</v>
      </c>
      <c r="G40" s="18"/>
      <c r="H40" s="6"/>
      <c r="I40" s="6"/>
    </row>
    <row r="41" spans="2:9" ht="12.75">
      <c r="B41" s="2"/>
      <c r="C41" s="6"/>
      <c r="D41" s="6"/>
      <c r="E41" s="6"/>
      <c r="F41" s="6"/>
      <c r="G41" s="6"/>
      <c r="H41" s="6"/>
      <c r="I41" s="6"/>
    </row>
    <row r="42" spans="2:9" ht="12.75">
      <c r="B42" s="21" t="s">
        <v>52</v>
      </c>
      <c r="C42" s="6"/>
      <c r="D42" s="89" t="s">
        <v>66</v>
      </c>
      <c r="E42" s="6"/>
      <c r="F42" s="6"/>
      <c r="G42" s="79"/>
      <c r="H42" s="6"/>
      <c r="I42" s="6"/>
    </row>
    <row r="43" spans="2:9" ht="12.75">
      <c r="B43" s="2"/>
      <c r="C43" s="76" t="s">
        <v>64</v>
      </c>
      <c r="D43" s="188">
        <v>3722</v>
      </c>
      <c r="F43" s="121"/>
      <c r="G43" s="79"/>
      <c r="H43" s="8"/>
      <c r="I43" s="6"/>
    </row>
    <row r="44" spans="2:9" ht="12.75">
      <c r="B44" s="2"/>
      <c r="C44" s="77" t="s">
        <v>65</v>
      </c>
      <c r="D44" s="38">
        <v>3722</v>
      </c>
      <c r="F44" s="121"/>
      <c r="G44" s="6"/>
      <c r="H44" s="6"/>
      <c r="I44" s="6"/>
    </row>
    <row r="45" spans="2:9" ht="12.75">
      <c r="B45" s="2"/>
      <c r="C45" s="78" t="s">
        <v>32</v>
      </c>
      <c r="D45" s="189">
        <v>5458</v>
      </c>
      <c r="F45" s="121"/>
      <c r="G45" s="6"/>
      <c r="H45" s="6"/>
      <c r="I45" s="6"/>
    </row>
    <row r="46" spans="2:9" ht="12.75">
      <c r="B46" s="2"/>
      <c r="C46" s="6"/>
      <c r="D46" s="6"/>
      <c r="E46" s="6"/>
      <c r="F46" s="6"/>
      <c r="G46" s="6"/>
      <c r="H46" s="6"/>
      <c r="I46" s="6"/>
    </row>
    <row r="47" spans="2:9" ht="12.75">
      <c r="B47" s="21" t="s">
        <v>249</v>
      </c>
      <c r="D47" s="6"/>
      <c r="E47" s="6"/>
      <c r="F47" s="6"/>
      <c r="G47" s="6"/>
      <c r="I47" s="6"/>
    </row>
    <row r="48" spans="2:9" ht="12.75">
      <c r="B48" s="2"/>
      <c r="C48" s="6" t="s">
        <v>55</v>
      </c>
      <c r="D48" s="6"/>
      <c r="E48" s="74">
        <f>E56</f>
        <v>56406</v>
      </c>
      <c r="F48" s="6" t="s">
        <v>67</v>
      </c>
      <c r="G48" s="6"/>
      <c r="I48" s="6"/>
    </row>
    <row r="49" spans="2:9" ht="12.75">
      <c r="B49" s="2"/>
      <c r="C49" s="6" t="s">
        <v>69</v>
      </c>
      <c r="D49" s="6"/>
      <c r="E49" s="74">
        <v>9147</v>
      </c>
      <c r="F49" s="6" t="s">
        <v>68</v>
      </c>
      <c r="G49" s="6"/>
      <c r="I49" s="6"/>
    </row>
    <row r="50" spans="2:9" ht="12.75">
      <c r="B50" s="2"/>
      <c r="C50" s="2"/>
      <c r="D50" s="6"/>
      <c r="E50" s="6"/>
      <c r="F50" s="6"/>
      <c r="G50" s="6"/>
      <c r="I50" s="6"/>
    </row>
    <row r="51" spans="2:9" ht="12.75">
      <c r="B51" s="21" t="s">
        <v>250</v>
      </c>
      <c r="D51" s="6"/>
      <c r="E51" s="6"/>
      <c r="F51" s="6"/>
      <c r="G51" s="6"/>
      <c r="I51" s="6"/>
    </row>
    <row r="52" spans="2:9" ht="12.75">
      <c r="B52" s="2"/>
      <c r="C52" s="6" t="s">
        <v>55</v>
      </c>
      <c r="D52" s="6"/>
      <c r="E52" s="74">
        <v>52442</v>
      </c>
      <c r="F52" s="6" t="s">
        <v>67</v>
      </c>
      <c r="G52" s="6"/>
      <c r="I52" s="6"/>
    </row>
    <row r="53" spans="2:9" ht="12.75">
      <c r="B53" s="2"/>
      <c r="C53" s="6" t="s">
        <v>69</v>
      </c>
      <c r="D53" s="6"/>
      <c r="E53" s="74">
        <v>11434</v>
      </c>
      <c r="F53" s="6" t="s">
        <v>68</v>
      </c>
      <c r="G53" s="6"/>
      <c r="I53" s="6"/>
    </row>
    <row r="54" spans="2:9" ht="12.75">
      <c r="B54" s="2"/>
      <c r="C54" s="2"/>
      <c r="D54" s="46"/>
      <c r="E54" s="6"/>
      <c r="F54" s="6"/>
      <c r="G54" s="46"/>
      <c r="I54" s="6"/>
    </row>
    <row r="55" spans="2:9" ht="12.75">
      <c r="B55" s="21" t="s">
        <v>182</v>
      </c>
      <c r="D55" s="6"/>
      <c r="E55" s="6"/>
      <c r="F55" s="6"/>
      <c r="G55" s="6"/>
      <c r="I55" s="6"/>
    </row>
    <row r="56" spans="2:10" ht="12.75">
      <c r="B56" s="2"/>
      <c r="C56" s="6" t="s">
        <v>55</v>
      </c>
      <c r="D56" s="6"/>
      <c r="E56" s="74">
        <v>56406</v>
      </c>
      <c r="F56" s="6" t="s">
        <v>67</v>
      </c>
      <c r="I56" s="6"/>
      <c r="J56" s="6"/>
    </row>
    <row r="57" spans="2:9" ht="12.75">
      <c r="B57" s="2"/>
      <c r="C57" s="6" t="s">
        <v>70</v>
      </c>
      <c r="D57" s="8"/>
      <c r="E57" s="74">
        <f>4573+1143</f>
        <v>5716</v>
      </c>
      <c r="F57" s="6" t="s">
        <v>71</v>
      </c>
      <c r="G57" s="8"/>
      <c r="I57" s="6"/>
    </row>
    <row r="58" spans="2:9" ht="12.75">
      <c r="B58" s="2"/>
      <c r="C58" s="6" t="s">
        <v>69</v>
      </c>
      <c r="D58" s="8"/>
      <c r="E58" s="80">
        <f>E57*4</f>
        <v>22864</v>
      </c>
      <c r="F58" s="6" t="s">
        <v>68</v>
      </c>
      <c r="G58" s="8"/>
      <c r="I58" s="6"/>
    </row>
    <row r="70" spans="6:8" ht="12.75">
      <c r="F70" s="23"/>
      <c r="G70" s="23"/>
      <c r="H70" s="23"/>
    </row>
    <row r="71" spans="3:8" ht="12.75">
      <c r="C71" s="146"/>
      <c r="F71" s="23"/>
      <c r="G71" s="23"/>
      <c r="H71" s="23"/>
    </row>
    <row r="72" spans="6:8" ht="12.75">
      <c r="F72" s="23"/>
      <c r="G72" s="23"/>
      <c r="H72" s="23"/>
    </row>
    <row r="73" spans="4:8" ht="12.75">
      <c r="D73" s="128"/>
      <c r="F73" s="23"/>
      <c r="G73" s="23"/>
      <c r="H73" s="23"/>
    </row>
    <row r="74" spans="4:8" ht="12.75">
      <c r="D74" s="128"/>
      <c r="F74" s="23"/>
      <c r="G74" s="23"/>
      <c r="H74" s="23"/>
    </row>
    <row r="75" spans="4:8" ht="12.75">
      <c r="D75" s="128"/>
      <c r="F75" s="23"/>
      <c r="G75" s="23"/>
      <c r="H75" s="23"/>
    </row>
    <row r="76" spans="6:8" ht="12.75">
      <c r="F76" s="23"/>
      <c r="G76" s="23"/>
      <c r="H76" s="23"/>
    </row>
    <row r="77" spans="3:8" ht="12.75">
      <c r="C77" s="146"/>
      <c r="F77" s="23"/>
      <c r="G77" s="23"/>
      <c r="H77" s="23"/>
    </row>
    <row r="78" spans="6:8" ht="12.75">
      <c r="F78" s="23"/>
      <c r="G78" s="23"/>
      <c r="H78" s="23"/>
    </row>
    <row r="79" spans="4:8" ht="12.75">
      <c r="D79" s="128"/>
      <c r="F79" s="23"/>
      <c r="G79" s="23"/>
      <c r="H79" s="23"/>
    </row>
    <row r="80" spans="4:8" ht="12.75">
      <c r="D80" s="128"/>
      <c r="F80" s="23"/>
      <c r="G80" s="23"/>
      <c r="H80" s="23"/>
    </row>
    <row r="81" spans="6:8" ht="12.75">
      <c r="F81" s="23"/>
      <c r="G81" s="23"/>
      <c r="H81" s="23"/>
    </row>
    <row r="82" spans="3:8" ht="12.75">
      <c r="C82" s="146"/>
      <c r="F82" s="23"/>
      <c r="G82" s="23"/>
      <c r="H82" s="23"/>
    </row>
    <row r="83" spans="6:8" ht="12.75">
      <c r="F83" s="23"/>
      <c r="G83" s="23"/>
      <c r="H83" s="23"/>
    </row>
    <row r="84" spans="4:8" ht="12.75">
      <c r="D84" s="128"/>
      <c r="F84" s="23"/>
      <c r="G84" s="23"/>
      <c r="H84" s="23"/>
    </row>
    <row r="85" spans="4:8" ht="12.75">
      <c r="D85" s="128"/>
      <c r="F85" s="23"/>
      <c r="G85" s="23"/>
      <c r="H85" s="23"/>
    </row>
    <row r="86" spans="4:8" ht="12.75">
      <c r="D86" s="128"/>
      <c r="F86" s="23"/>
      <c r="G86" s="23"/>
      <c r="H86" s="23"/>
    </row>
    <row r="87" spans="4:8" ht="12.75">
      <c r="D87" s="128"/>
      <c r="F87" s="23"/>
      <c r="G87" s="23"/>
      <c r="H87" s="23"/>
    </row>
  </sheetData>
  <printOptions/>
  <pageMargins left="0.75" right="0.75" top="1" bottom="1"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2:IV82"/>
  <sheetViews>
    <sheetView workbookViewId="0" topLeftCell="A1">
      <selection activeCell="A1" sqref="A1"/>
    </sheetView>
  </sheetViews>
  <sheetFormatPr defaultColWidth="11.421875" defaultRowHeight="12.75"/>
  <cols>
    <col min="1" max="1" width="2.7109375" style="1" customWidth="1"/>
    <col min="2" max="2" width="4.7109375" style="1" customWidth="1"/>
    <col min="3" max="3" width="49.7109375" style="1" customWidth="1"/>
    <col min="4" max="6" width="11.421875" style="1" customWidth="1"/>
    <col min="7" max="7" width="13.7109375" style="1" customWidth="1"/>
    <col min="8" max="16384" width="11.421875" style="1" customWidth="1"/>
  </cols>
  <sheetData>
    <row r="1" ht="18" customHeight="1"/>
    <row r="2" spans="2:7" ht="12.75">
      <c r="B2" s="83"/>
      <c r="C2" s="3" t="s">
        <v>89</v>
      </c>
      <c r="D2" s="83"/>
      <c r="E2" s="84"/>
      <c r="F2" s="84"/>
      <c r="G2" s="84"/>
    </row>
    <row r="3" spans="2:7" ht="12.75">
      <c r="B3" s="210"/>
      <c r="C3" s="99"/>
      <c r="D3" s="210"/>
      <c r="E3" s="211"/>
      <c r="F3" s="211"/>
      <c r="G3" s="211"/>
    </row>
    <row r="4" spans="2:7" ht="12.75">
      <c r="B4" s="21" t="s">
        <v>126</v>
      </c>
      <c r="D4" s="6"/>
      <c r="E4" s="6"/>
      <c r="F4" s="6"/>
      <c r="G4" s="85"/>
    </row>
    <row r="5" spans="2:7" ht="12.75">
      <c r="B5" s="6"/>
      <c r="C5" s="6" t="s">
        <v>90</v>
      </c>
      <c r="D5" s="42">
        <v>0.1</v>
      </c>
      <c r="E5" s="6" t="s">
        <v>125</v>
      </c>
      <c r="F5" s="6"/>
      <c r="G5" s="85"/>
    </row>
    <row r="6" spans="2:7" ht="12.75">
      <c r="B6" s="6"/>
      <c r="C6" s="6"/>
      <c r="D6" s="6"/>
      <c r="E6" s="6"/>
      <c r="F6" s="6"/>
      <c r="G6" s="85"/>
    </row>
    <row r="7" spans="2:7" ht="12.75">
      <c r="B7" s="21" t="s">
        <v>124</v>
      </c>
      <c r="D7" s="6"/>
      <c r="E7" s="6"/>
      <c r="F7" s="6"/>
      <c r="G7" s="85"/>
    </row>
    <row r="8" spans="2:7" ht="12.75">
      <c r="B8" s="6"/>
      <c r="C8" s="6" t="s">
        <v>90</v>
      </c>
      <c r="D8" s="42">
        <v>0.08</v>
      </c>
      <c r="E8" s="6" t="s">
        <v>125</v>
      </c>
      <c r="F8" s="6"/>
      <c r="G8" s="85"/>
    </row>
    <row r="10" spans="2:7" ht="12.75">
      <c r="B10" s="100" t="s">
        <v>135</v>
      </c>
      <c r="D10" s="2"/>
      <c r="E10" s="2"/>
      <c r="F10" s="2"/>
      <c r="G10" s="2"/>
    </row>
    <row r="11" spans="2:7" ht="12.75">
      <c r="B11" s="6"/>
      <c r="C11" s="6" t="s">
        <v>133</v>
      </c>
      <c r="D11" s="204">
        <v>0.75</v>
      </c>
      <c r="E11" s="2"/>
      <c r="G11" s="6"/>
    </row>
    <row r="12" spans="2:7" ht="12.75">
      <c r="B12" s="6"/>
      <c r="C12" s="6" t="s">
        <v>134</v>
      </c>
      <c r="D12" s="257">
        <f>1-D11</f>
        <v>0.25</v>
      </c>
      <c r="E12" s="2"/>
      <c r="G12" s="6"/>
    </row>
    <row r="13" spans="2:7" ht="12.75">
      <c r="B13" s="6"/>
      <c r="C13" s="6"/>
      <c r="D13" s="2"/>
      <c r="E13" s="2"/>
      <c r="F13" s="98"/>
      <c r="G13" s="6"/>
    </row>
    <row r="14" spans="2:7" ht="12.75">
      <c r="B14" s="21" t="s">
        <v>283</v>
      </c>
      <c r="D14" s="6"/>
      <c r="E14" s="6"/>
      <c r="F14" s="6"/>
      <c r="G14" s="6"/>
    </row>
    <row r="15" spans="2:7" ht="12.75">
      <c r="B15" s="6"/>
      <c r="C15" s="6" t="s">
        <v>93</v>
      </c>
      <c r="D15" s="6">
        <v>63</v>
      </c>
      <c r="E15" s="6"/>
      <c r="F15" s="199"/>
      <c r="G15" s="6"/>
    </row>
    <row r="16" spans="2:7" ht="12.75">
      <c r="B16" s="6"/>
      <c r="C16" s="29" t="s">
        <v>96</v>
      </c>
      <c r="D16" s="74">
        <v>3</v>
      </c>
      <c r="E16" s="6" t="s">
        <v>97</v>
      </c>
      <c r="F16" s="6"/>
      <c r="G16" s="6"/>
    </row>
    <row r="17" spans="2:7" ht="12.75">
      <c r="B17" s="6"/>
      <c r="C17" s="87" t="s">
        <v>91</v>
      </c>
      <c r="D17" s="42">
        <f>3.3</f>
        <v>3.3</v>
      </c>
      <c r="E17" s="6" t="s">
        <v>92</v>
      </c>
      <c r="F17" s="79"/>
      <c r="G17" s="6"/>
    </row>
    <row r="18" spans="3:256" ht="12.75">
      <c r="C18" s="2" t="s">
        <v>268</v>
      </c>
      <c r="D18" s="2">
        <v>0</v>
      </c>
      <c r="E18" s="2" t="s">
        <v>56</v>
      </c>
      <c r="F18" s="2"/>
      <c r="G18" s="100"/>
      <c r="K18" s="2"/>
      <c r="L18" s="2"/>
      <c r="M18" s="2"/>
      <c r="N18" s="2"/>
      <c r="O18" s="2">
        <v>0</v>
      </c>
      <c r="P18" s="2" t="s">
        <v>56</v>
      </c>
      <c r="Q18" s="2" t="s">
        <v>55</v>
      </c>
      <c r="R18" s="100"/>
      <c r="S18" s="2"/>
      <c r="T18" s="2"/>
      <c r="U18" s="2"/>
      <c r="V18" s="2"/>
      <c r="W18" s="2">
        <v>0</v>
      </c>
      <c r="X18" s="2" t="s">
        <v>56</v>
      </c>
      <c r="Y18" s="2" t="s">
        <v>55</v>
      </c>
      <c r="Z18" s="100"/>
      <c r="AA18" s="2"/>
      <c r="AB18" s="2"/>
      <c r="AC18" s="2"/>
      <c r="AD18" s="2"/>
      <c r="AE18" s="2">
        <v>0</v>
      </c>
      <c r="AF18" s="2" t="s">
        <v>56</v>
      </c>
      <c r="AG18" s="2" t="s">
        <v>55</v>
      </c>
      <c r="AH18" s="100"/>
      <c r="AI18" s="2"/>
      <c r="AJ18" s="2"/>
      <c r="AK18" s="2"/>
      <c r="AL18" s="2"/>
      <c r="AM18" s="2">
        <v>0</v>
      </c>
      <c r="AN18" s="2" t="s">
        <v>56</v>
      </c>
      <c r="AO18" s="2" t="s">
        <v>55</v>
      </c>
      <c r="AP18" s="100"/>
      <c r="AQ18" s="2"/>
      <c r="AR18" s="2"/>
      <c r="AS18" s="2"/>
      <c r="AT18" s="2"/>
      <c r="AU18" s="2">
        <v>0</v>
      </c>
      <c r="AV18" s="2" t="s">
        <v>56</v>
      </c>
      <c r="AW18" s="2" t="s">
        <v>55</v>
      </c>
      <c r="AX18" s="100"/>
      <c r="AY18" s="2"/>
      <c r="AZ18" s="2"/>
      <c r="BA18" s="2"/>
      <c r="BB18" s="2"/>
      <c r="BC18" s="2">
        <v>0</v>
      </c>
      <c r="BD18" s="2" t="s">
        <v>56</v>
      </c>
      <c r="BE18" s="2" t="s">
        <v>55</v>
      </c>
      <c r="BF18" s="100"/>
      <c r="BG18" s="2"/>
      <c r="BH18" s="2"/>
      <c r="BI18" s="2"/>
      <c r="BJ18" s="2"/>
      <c r="BK18" s="2">
        <v>0</v>
      </c>
      <c r="BL18" s="2" t="s">
        <v>56</v>
      </c>
      <c r="BM18" s="2" t="s">
        <v>55</v>
      </c>
      <c r="BN18" s="100"/>
      <c r="BO18" s="2"/>
      <c r="BP18" s="2"/>
      <c r="BQ18" s="2"/>
      <c r="BR18" s="2"/>
      <c r="BS18" s="2">
        <v>0</v>
      </c>
      <c r="BT18" s="2" t="s">
        <v>56</v>
      </c>
      <c r="BU18" s="2" t="s">
        <v>55</v>
      </c>
      <c r="BV18" s="100"/>
      <c r="BW18" s="2"/>
      <c r="BX18" s="2"/>
      <c r="BY18" s="2"/>
      <c r="BZ18" s="2"/>
      <c r="CA18" s="2">
        <v>0</v>
      </c>
      <c r="CB18" s="2" t="s">
        <v>56</v>
      </c>
      <c r="CC18" s="2" t="s">
        <v>55</v>
      </c>
      <c r="CD18" s="100"/>
      <c r="CE18" s="2"/>
      <c r="CF18" s="2"/>
      <c r="CG18" s="2"/>
      <c r="CH18" s="2"/>
      <c r="CI18" s="2">
        <v>0</v>
      </c>
      <c r="CJ18" s="2" t="s">
        <v>56</v>
      </c>
      <c r="CK18" s="2" t="s">
        <v>55</v>
      </c>
      <c r="CL18" s="100"/>
      <c r="CM18" s="2"/>
      <c r="CN18" s="2"/>
      <c r="CO18" s="2"/>
      <c r="CP18" s="2"/>
      <c r="CQ18" s="2">
        <v>0</v>
      </c>
      <c r="CR18" s="2" t="s">
        <v>56</v>
      </c>
      <c r="CS18" s="2" t="s">
        <v>55</v>
      </c>
      <c r="CT18" s="100"/>
      <c r="CU18" s="2"/>
      <c r="CV18" s="2"/>
      <c r="CW18" s="2"/>
      <c r="CX18" s="2"/>
      <c r="CY18" s="2">
        <v>0</v>
      </c>
      <c r="CZ18" s="2" t="s">
        <v>56</v>
      </c>
      <c r="DA18" s="2" t="s">
        <v>55</v>
      </c>
      <c r="DB18" s="100"/>
      <c r="DC18" s="2"/>
      <c r="DD18" s="2"/>
      <c r="DE18" s="2"/>
      <c r="DF18" s="2"/>
      <c r="DG18" s="2">
        <v>0</v>
      </c>
      <c r="DH18" s="2" t="s">
        <v>56</v>
      </c>
      <c r="DI18" s="2" t="s">
        <v>55</v>
      </c>
      <c r="DJ18" s="100"/>
      <c r="DK18" s="2"/>
      <c r="DL18" s="2"/>
      <c r="DM18" s="2"/>
      <c r="DN18" s="2"/>
      <c r="DO18" s="2">
        <v>0</v>
      </c>
      <c r="DP18" s="2" t="s">
        <v>56</v>
      </c>
      <c r="DQ18" s="2" t="s">
        <v>55</v>
      </c>
      <c r="DR18" s="100"/>
      <c r="DS18" s="2"/>
      <c r="DT18" s="2"/>
      <c r="DU18" s="2"/>
      <c r="DV18" s="2"/>
      <c r="DW18" s="2">
        <v>0</v>
      </c>
      <c r="DX18" s="2" t="s">
        <v>56</v>
      </c>
      <c r="DY18" s="2" t="s">
        <v>55</v>
      </c>
      <c r="DZ18" s="100"/>
      <c r="EA18" s="2"/>
      <c r="EB18" s="2"/>
      <c r="EC18" s="2"/>
      <c r="ED18" s="2"/>
      <c r="EE18" s="2">
        <v>0</v>
      </c>
      <c r="EF18" s="2" t="s">
        <v>56</v>
      </c>
      <c r="EG18" s="2" t="s">
        <v>55</v>
      </c>
      <c r="EH18" s="100"/>
      <c r="EI18" s="2"/>
      <c r="EJ18" s="2"/>
      <c r="EK18" s="2"/>
      <c r="EL18" s="2"/>
      <c r="EM18" s="2">
        <v>0</v>
      </c>
      <c r="EN18" s="2" t="s">
        <v>56</v>
      </c>
      <c r="EO18" s="2" t="s">
        <v>55</v>
      </c>
      <c r="EP18" s="100"/>
      <c r="EQ18" s="2"/>
      <c r="ER18" s="2"/>
      <c r="ES18" s="2"/>
      <c r="ET18" s="2"/>
      <c r="EU18" s="2">
        <v>0</v>
      </c>
      <c r="EV18" s="2" t="s">
        <v>56</v>
      </c>
      <c r="EW18" s="2" t="s">
        <v>55</v>
      </c>
      <c r="EX18" s="100"/>
      <c r="EY18" s="2"/>
      <c r="EZ18" s="2"/>
      <c r="FA18" s="2"/>
      <c r="FB18" s="2"/>
      <c r="FC18" s="2">
        <v>0</v>
      </c>
      <c r="FD18" s="2" t="s">
        <v>56</v>
      </c>
      <c r="FE18" s="2" t="s">
        <v>55</v>
      </c>
      <c r="FF18" s="100"/>
      <c r="FG18" s="2"/>
      <c r="FH18" s="2"/>
      <c r="FI18" s="2"/>
      <c r="FJ18" s="2"/>
      <c r="FK18" s="2">
        <v>0</v>
      </c>
      <c r="FL18" s="2" t="s">
        <v>56</v>
      </c>
      <c r="FM18" s="2" t="s">
        <v>55</v>
      </c>
      <c r="FN18" s="100"/>
      <c r="FO18" s="2"/>
      <c r="FP18" s="2"/>
      <c r="FQ18" s="2"/>
      <c r="FR18" s="2"/>
      <c r="FS18" s="2">
        <v>0</v>
      </c>
      <c r="FT18" s="2" t="s">
        <v>56</v>
      </c>
      <c r="FU18" s="2" t="s">
        <v>55</v>
      </c>
      <c r="FV18" s="100"/>
      <c r="FW18" s="2"/>
      <c r="FX18" s="2"/>
      <c r="FY18" s="2"/>
      <c r="FZ18" s="2"/>
      <c r="GA18" s="2">
        <v>0</v>
      </c>
      <c r="GB18" s="2" t="s">
        <v>56</v>
      </c>
      <c r="GC18" s="2" t="s">
        <v>55</v>
      </c>
      <c r="GD18" s="100"/>
      <c r="GE18" s="2"/>
      <c r="GF18" s="2"/>
      <c r="GG18" s="2"/>
      <c r="GH18" s="2"/>
      <c r="GI18" s="2">
        <v>0</v>
      </c>
      <c r="GJ18" s="2" t="s">
        <v>56</v>
      </c>
      <c r="GK18" s="2" t="s">
        <v>55</v>
      </c>
      <c r="GL18" s="100"/>
      <c r="GM18" s="2"/>
      <c r="GN18" s="2"/>
      <c r="GO18" s="2"/>
      <c r="GP18" s="2"/>
      <c r="GQ18" s="2">
        <v>0</v>
      </c>
      <c r="GR18" s="2" t="s">
        <v>56</v>
      </c>
      <c r="GS18" s="2" t="s">
        <v>55</v>
      </c>
      <c r="GT18" s="100"/>
      <c r="GU18" s="2"/>
      <c r="GV18" s="2"/>
      <c r="GW18" s="2"/>
      <c r="GX18" s="2"/>
      <c r="GY18" s="2">
        <v>0</v>
      </c>
      <c r="GZ18" s="2" t="s">
        <v>56</v>
      </c>
      <c r="HA18" s="2" t="s">
        <v>55</v>
      </c>
      <c r="HB18" s="100"/>
      <c r="HC18" s="2"/>
      <c r="HD18" s="2"/>
      <c r="HE18" s="2"/>
      <c r="HF18" s="2"/>
      <c r="HG18" s="2">
        <v>0</v>
      </c>
      <c r="HH18" s="2" t="s">
        <v>56</v>
      </c>
      <c r="HI18" s="2" t="s">
        <v>55</v>
      </c>
      <c r="HJ18" s="100"/>
      <c r="HK18" s="2"/>
      <c r="HL18" s="2"/>
      <c r="HM18" s="2"/>
      <c r="HN18" s="2"/>
      <c r="HO18" s="2">
        <v>0</v>
      </c>
      <c r="HP18" s="2" t="s">
        <v>56</v>
      </c>
      <c r="HQ18" s="2" t="s">
        <v>55</v>
      </c>
      <c r="HR18" s="100"/>
      <c r="HS18" s="2"/>
      <c r="HT18" s="2"/>
      <c r="HU18" s="2"/>
      <c r="HV18" s="2"/>
      <c r="HW18" s="2">
        <v>0</v>
      </c>
      <c r="HX18" s="2" t="s">
        <v>56</v>
      </c>
      <c r="HY18" s="2" t="s">
        <v>55</v>
      </c>
      <c r="HZ18" s="100"/>
      <c r="IA18" s="2"/>
      <c r="IB18" s="2"/>
      <c r="IC18" s="2"/>
      <c r="ID18" s="2"/>
      <c r="IE18" s="2">
        <v>0</v>
      </c>
      <c r="IF18" s="2" t="s">
        <v>56</v>
      </c>
      <c r="IG18" s="2" t="s">
        <v>55</v>
      </c>
      <c r="IH18" s="100"/>
      <c r="II18" s="2"/>
      <c r="IJ18" s="2"/>
      <c r="IK18" s="2"/>
      <c r="IL18" s="2"/>
      <c r="IM18" s="2">
        <v>0</v>
      </c>
      <c r="IN18" s="2" t="s">
        <v>56</v>
      </c>
      <c r="IO18" s="2" t="s">
        <v>55</v>
      </c>
      <c r="IP18" s="100"/>
      <c r="IQ18" s="2"/>
      <c r="IR18" s="2"/>
      <c r="IS18" s="2"/>
      <c r="IT18" s="2"/>
      <c r="IU18" s="2">
        <v>0</v>
      </c>
      <c r="IV18" s="2" t="s">
        <v>56</v>
      </c>
    </row>
    <row r="19" spans="3:256" ht="12.75">
      <c r="C19" s="2" t="s">
        <v>282</v>
      </c>
      <c r="D19" s="168">
        <v>6800</v>
      </c>
      <c r="E19" s="2" t="s">
        <v>62</v>
      </c>
      <c r="F19" s="2"/>
      <c r="G19" s="100"/>
      <c r="K19" s="2"/>
      <c r="L19" s="2"/>
      <c r="M19" s="2"/>
      <c r="N19" s="2"/>
      <c r="O19" s="214">
        <v>6800</v>
      </c>
      <c r="P19" s="2" t="s">
        <v>62</v>
      </c>
      <c r="Q19" s="2" t="s">
        <v>229</v>
      </c>
      <c r="R19" s="100"/>
      <c r="S19" s="2"/>
      <c r="T19" s="2"/>
      <c r="U19" s="2"/>
      <c r="V19" s="2"/>
      <c r="W19" s="214">
        <v>6800</v>
      </c>
      <c r="X19" s="2" t="s">
        <v>62</v>
      </c>
      <c r="Y19" s="2" t="s">
        <v>229</v>
      </c>
      <c r="Z19" s="100"/>
      <c r="AA19" s="2"/>
      <c r="AB19" s="2"/>
      <c r="AC19" s="2"/>
      <c r="AD19" s="2"/>
      <c r="AE19" s="214">
        <v>6800</v>
      </c>
      <c r="AF19" s="2" t="s">
        <v>62</v>
      </c>
      <c r="AG19" s="2" t="s">
        <v>229</v>
      </c>
      <c r="AH19" s="100"/>
      <c r="AI19" s="2"/>
      <c r="AJ19" s="2"/>
      <c r="AK19" s="2"/>
      <c r="AL19" s="2"/>
      <c r="AM19" s="214">
        <v>6800</v>
      </c>
      <c r="AN19" s="2" t="s">
        <v>62</v>
      </c>
      <c r="AO19" s="2" t="s">
        <v>229</v>
      </c>
      <c r="AP19" s="100"/>
      <c r="AQ19" s="2"/>
      <c r="AR19" s="2"/>
      <c r="AS19" s="2"/>
      <c r="AT19" s="2"/>
      <c r="AU19" s="214">
        <v>6800</v>
      </c>
      <c r="AV19" s="2" t="s">
        <v>62</v>
      </c>
      <c r="AW19" s="2" t="s">
        <v>229</v>
      </c>
      <c r="AX19" s="100"/>
      <c r="AY19" s="2"/>
      <c r="AZ19" s="2"/>
      <c r="BA19" s="2"/>
      <c r="BB19" s="2"/>
      <c r="BC19" s="214">
        <v>6800</v>
      </c>
      <c r="BD19" s="2" t="s">
        <v>62</v>
      </c>
      <c r="BE19" s="2" t="s">
        <v>229</v>
      </c>
      <c r="BF19" s="100"/>
      <c r="BG19" s="2"/>
      <c r="BH19" s="2"/>
      <c r="BI19" s="2"/>
      <c r="BJ19" s="2"/>
      <c r="BK19" s="214">
        <v>6800</v>
      </c>
      <c r="BL19" s="2" t="s">
        <v>62</v>
      </c>
      <c r="BM19" s="2" t="s">
        <v>229</v>
      </c>
      <c r="BN19" s="100"/>
      <c r="BO19" s="2"/>
      <c r="BP19" s="2"/>
      <c r="BQ19" s="2"/>
      <c r="BR19" s="2"/>
      <c r="BS19" s="214">
        <v>6800</v>
      </c>
      <c r="BT19" s="2" t="s">
        <v>62</v>
      </c>
      <c r="BU19" s="2" t="s">
        <v>229</v>
      </c>
      <c r="BV19" s="100"/>
      <c r="BW19" s="2"/>
      <c r="BX19" s="2"/>
      <c r="BY19" s="2"/>
      <c r="BZ19" s="2"/>
      <c r="CA19" s="214">
        <v>6800</v>
      </c>
      <c r="CB19" s="2" t="s">
        <v>62</v>
      </c>
      <c r="CC19" s="2" t="s">
        <v>229</v>
      </c>
      <c r="CD19" s="100"/>
      <c r="CE19" s="2"/>
      <c r="CF19" s="2"/>
      <c r="CG19" s="2"/>
      <c r="CH19" s="2"/>
      <c r="CI19" s="214">
        <v>6800</v>
      </c>
      <c r="CJ19" s="2" t="s">
        <v>62</v>
      </c>
      <c r="CK19" s="2" t="s">
        <v>229</v>
      </c>
      <c r="CL19" s="100"/>
      <c r="CM19" s="2"/>
      <c r="CN19" s="2"/>
      <c r="CO19" s="2"/>
      <c r="CP19" s="2"/>
      <c r="CQ19" s="214">
        <v>6800</v>
      </c>
      <c r="CR19" s="2" t="s">
        <v>62</v>
      </c>
      <c r="CS19" s="2" t="s">
        <v>229</v>
      </c>
      <c r="CT19" s="100"/>
      <c r="CU19" s="2"/>
      <c r="CV19" s="2"/>
      <c r="CW19" s="2"/>
      <c r="CX19" s="2"/>
      <c r="CY19" s="214">
        <v>6800</v>
      </c>
      <c r="CZ19" s="2" t="s">
        <v>62</v>
      </c>
      <c r="DA19" s="2" t="s">
        <v>229</v>
      </c>
      <c r="DB19" s="100"/>
      <c r="DC19" s="2"/>
      <c r="DD19" s="2"/>
      <c r="DE19" s="2"/>
      <c r="DF19" s="2"/>
      <c r="DG19" s="214">
        <v>6800</v>
      </c>
      <c r="DH19" s="2" t="s">
        <v>62</v>
      </c>
      <c r="DI19" s="2" t="s">
        <v>229</v>
      </c>
      <c r="DJ19" s="100"/>
      <c r="DK19" s="2"/>
      <c r="DL19" s="2"/>
      <c r="DM19" s="2"/>
      <c r="DN19" s="2"/>
      <c r="DO19" s="214">
        <v>6800</v>
      </c>
      <c r="DP19" s="2" t="s">
        <v>62</v>
      </c>
      <c r="DQ19" s="2" t="s">
        <v>229</v>
      </c>
      <c r="DR19" s="100"/>
      <c r="DS19" s="2"/>
      <c r="DT19" s="2"/>
      <c r="DU19" s="2"/>
      <c r="DV19" s="2"/>
      <c r="DW19" s="214">
        <v>6800</v>
      </c>
      <c r="DX19" s="2" t="s">
        <v>62</v>
      </c>
      <c r="DY19" s="2" t="s">
        <v>229</v>
      </c>
      <c r="DZ19" s="100"/>
      <c r="EA19" s="2"/>
      <c r="EB19" s="2"/>
      <c r="EC19" s="2"/>
      <c r="ED19" s="2"/>
      <c r="EE19" s="214">
        <v>6800</v>
      </c>
      <c r="EF19" s="2" t="s">
        <v>62</v>
      </c>
      <c r="EG19" s="2" t="s">
        <v>229</v>
      </c>
      <c r="EH19" s="100"/>
      <c r="EI19" s="2"/>
      <c r="EJ19" s="2"/>
      <c r="EK19" s="2"/>
      <c r="EL19" s="2"/>
      <c r="EM19" s="214">
        <v>6800</v>
      </c>
      <c r="EN19" s="2" t="s">
        <v>62</v>
      </c>
      <c r="EO19" s="2" t="s">
        <v>229</v>
      </c>
      <c r="EP19" s="100"/>
      <c r="EQ19" s="2"/>
      <c r="ER19" s="2"/>
      <c r="ES19" s="2"/>
      <c r="ET19" s="2"/>
      <c r="EU19" s="214">
        <v>6800</v>
      </c>
      <c r="EV19" s="2" t="s">
        <v>62</v>
      </c>
      <c r="EW19" s="2" t="s">
        <v>229</v>
      </c>
      <c r="EX19" s="100"/>
      <c r="EY19" s="2"/>
      <c r="EZ19" s="2"/>
      <c r="FA19" s="2"/>
      <c r="FB19" s="2"/>
      <c r="FC19" s="214">
        <v>6800</v>
      </c>
      <c r="FD19" s="2" t="s">
        <v>62</v>
      </c>
      <c r="FE19" s="2" t="s">
        <v>229</v>
      </c>
      <c r="FF19" s="100"/>
      <c r="FG19" s="2"/>
      <c r="FH19" s="2"/>
      <c r="FI19" s="2"/>
      <c r="FJ19" s="2"/>
      <c r="FK19" s="214">
        <v>6800</v>
      </c>
      <c r="FL19" s="2" t="s">
        <v>62</v>
      </c>
      <c r="FM19" s="2" t="s">
        <v>229</v>
      </c>
      <c r="FN19" s="100"/>
      <c r="FO19" s="2"/>
      <c r="FP19" s="2"/>
      <c r="FQ19" s="2"/>
      <c r="FR19" s="2"/>
      <c r="FS19" s="214">
        <v>6800</v>
      </c>
      <c r="FT19" s="2" t="s">
        <v>62</v>
      </c>
      <c r="FU19" s="2" t="s">
        <v>229</v>
      </c>
      <c r="FV19" s="100"/>
      <c r="FW19" s="2"/>
      <c r="FX19" s="2"/>
      <c r="FY19" s="2"/>
      <c r="FZ19" s="2"/>
      <c r="GA19" s="214">
        <v>6800</v>
      </c>
      <c r="GB19" s="2" t="s">
        <v>62</v>
      </c>
      <c r="GC19" s="2" t="s">
        <v>229</v>
      </c>
      <c r="GD19" s="100"/>
      <c r="GE19" s="2"/>
      <c r="GF19" s="2"/>
      <c r="GG19" s="2"/>
      <c r="GH19" s="2"/>
      <c r="GI19" s="214">
        <v>6800</v>
      </c>
      <c r="GJ19" s="2" t="s">
        <v>62</v>
      </c>
      <c r="GK19" s="2" t="s">
        <v>229</v>
      </c>
      <c r="GL19" s="100"/>
      <c r="GM19" s="2"/>
      <c r="GN19" s="2"/>
      <c r="GO19" s="2"/>
      <c r="GP19" s="2"/>
      <c r="GQ19" s="214">
        <v>6800</v>
      </c>
      <c r="GR19" s="2" t="s">
        <v>62</v>
      </c>
      <c r="GS19" s="2" t="s">
        <v>229</v>
      </c>
      <c r="GT19" s="100"/>
      <c r="GU19" s="2"/>
      <c r="GV19" s="2"/>
      <c r="GW19" s="2"/>
      <c r="GX19" s="2"/>
      <c r="GY19" s="214">
        <v>6800</v>
      </c>
      <c r="GZ19" s="2" t="s">
        <v>62</v>
      </c>
      <c r="HA19" s="2" t="s">
        <v>229</v>
      </c>
      <c r="HB19" s="100"/>
      <c r="HC19" s="2"/>
      <c r="HD19" s="2"/>
      <c r="HE19" s="2"/>
      <c r="HF19" s="2"/>
      <c r="HG19" s="214">
        <v>6800</v>
      </c>
      <c r="HH19" s="2" t="s">
        <v>62</v>
      </c>
      <c r="HI19" s="2" t="s">
        <v>229</v>
      </c>
      <c r="HJ19" s="100"/>
      <c r="HK19" s="2"/>
      <c r="HL19" s="2"/>
      <c r="HM19" s="2"/>
      <c r="HN19" s="2"/>
      <c r="HO19" s="214">
        <v>6800</v>
      </c>
      <c r="HP19" s="2" t="s">
        <v>62</v>
      </c>
      <c r="HQ19" s="2" t="s">
        <v>229</v>
      </c>
      <c r="HR19" s="100"/>
      <c r="HS19" s="2"/>
      <c r="HT19" s="2"/>
      <c r="HU19" s="2"/>
      <c r="HV19" s="2"/>
      <c r="HW19" s="214">
        <v>6800</v>
      </c>
      <c r="HX19" s="2" t="s">
        <v>62</v>
      </c>
      <c r="HY19" s="2" t="s">
        <v>229</v>
      </c>
      <c r="HZ19" s="100"/>
      <c r="IA19" s="2"/>
      <c r="IB19" s="2"/>
      <c r="IC19" s="2"/>
      <c r="ID19" s="2"/>
      <c r="IE19" s="214">
        <v>6800</v>
      </c>
      <c r="IF19" s="2" t="s">
        <v>62</v>
      </c>
      <c r="IG19" s="2" t="s">
        <v>229</v>
      </c>
      <c r="IH19" s="100"/>
      <c r="II19" s="2"/>
      <c r="IJ19" s="2"/>
      <c r="IK19" s="2"/>
      <c r="IL19" s="2"/>
      <c r="IM19" s="214">
        <v>6800</v>
      </c>
      <c r="IN19" s="2" t="s">
        <v>62</v>
      </c>
      <c r="IO19" s="2" t="s">
        <v>229</v>
      </c>
      <c r="IP19" s="100"/>
      <c r="IQ19" s="2"/>
      <c r="IR19" s="2"/>
      <c r="IS19" s="2"/>
      <c r="IT19" s="2"/>
      <c r="IU19" s="214">
        <v>6800</v>
      </c>
      <c r="IV19" s="2" t="s">
        <v>62</v>
      </c>
    </row>
    <row r="20" spans="3:256" ht="12.75">
      <c r="C20" s="2" t="s">
        <v>269</v>
      </c>
      <c r="D20" s="2">
        <v>0</v>
      </c>
      <c r="E20" s="2" t="s">
        <v>62</v>
      </c>
      <c r="F20" s="2"/>
      <c r="G20" s="100"/>
      <c r="K20" s="2"/>
      <c r="L20" s="2"/>
      <c r="M20" s="2"/>
      <c r="N20" s="2"/>
      <c r="O20" s="2">
        <v>0</v>
      </c>
      <c r="P20" s="2" t="s">
        <v>62</v>
      </c>
      <c r="Q20" s="2" t="s">
        <v>230</v>
      </c>
      <c r="R20" s="100"/>
      <c r="S20" s="2"/>
      <c r="T20" s="2"/>
      <c r="U20" s="2"/>
      <c r="V20" s="2"/>
      <c r="W20" s="2">
        <v>0</v>
      </c>
      <c r="X20" s="2" t="s">
        <v>62</v>
      </c>
      <c r="Y20" s="2" t="s">
        <v>230</v>
      </c>
      <c r="Z20" s="100"/>
      <c r="AA20" s="2"/>
      <c r="AB20" s="2"/>
      <c r="AC20" s="2"/>
      <c r="AD20" s="2"/>
      <c r="AE20" s="2">
        <v>0</v>
      </c>
      <c r="AF20" s="2" t="s">
        <v>62</v>
      </c>
      <c r="AG20" s="2" t="s">
        <v>230</v>
      </c>
      <c r="AH20" s="100"/>
      <c r="AI20" s="2"/>
      <c r="AJ20" s="2"/>
      <c r="AK20" s="2"/>
      <c r="AL20" s="2"/>
      <c r="AM20" s="2">
        <v>0</v>
      </c>
      <c r="AN20" s="2" t="s">
        <v>62</v>
      </c>
      <c r="AO20" s="2" t="s">
        <v>230</v>
      </c>
      <c r="AP20" s="100"/>
      <c r="AQ20" s="2"/>
      <c r="AR20" s="2"/>
      <c r="AS20" s="2"/>
      <c r="AT20" s="2"/>
      <c r="AU20" s="2">
        <v>0</v>
      </c>
      <c r="AV20" s="2" t="s">
        <v>62</v>
      </c>
      <c r="AW20" s="2" t="s">
        <v>230</v>
      </c>
      <c r="AX20" s="100"/>
      <c r="AY20" s="2"/>
      <c r="AZ20" s="2"/>
      <c r="BA20" s="2"/>
      <c r="BB20" s="2"/>
      <c r="BC20" s="2">
        <v>0</v>
      </c>
      <c r="BD20" s="2" t="s">
        <v>62</v>
      </c>
      <c r="BE20" s="2" t="s">
        <v>230</v>
      </c>
      <c r="BF20" s="100"/>
      <c r="BG20" s="2"/>
      <c r="BH20" s="2"/>
      <c r="BI20" s="2"/>
      <c r="BJ20" s="2"/>
      <c r="BK20" s="2">
        <v>0</v>
      </c>
      <c r="BL20" s="2" t="s">
        <v>62</v>
      </c>
      <c r="BM20" s="2" t="s">
        <v>230</v>
      </c>
      <c r="BN20" s="100"/>
      <c r="BO20" s="2"/>
      <c r="BP20" s="2"/>
      <c r="BQ20" s="2"/>
      <c r="BR20" s="2"/>
      <c r="BS20" s="2">
        <v>0</v>
      </c>
      <c r="BT20" s="2" t="s">
        <v>62</v>
      </c>
      <c r="BU20" s="2" t="s">
        <v>230</v>
      </c>
      <c r="BV20" s="100"/>
      <c r="BW20" s="2"/>
      <c r="BX20" s="2"/>
      <c r="BY20" s="2"/>
      <c r="BZ20" s="2"/>
      <c r="CA20" s="2">
        <v>0</v>
      </c>
      <c r="CB20" s="2" t="s">
        <v>62</v>
      </c>
      <c r="CC20" s="2" t="s">
        <v>230</v>
      </c>
      <c r="CD20" s="100"/>
      <c r="CE20" s="2"/>
      <c r="CF20" s="2"/>
      <c r="CG20" s="2"/>
      <c r="CH20" s="2"/>
      <c r="CI20" s="2">
        <v>0</v>
      </c>
      <c r="CJ20" s="2" t="s">
        <v>62</v>
      </c>
      <c r="CK20" s="2" t="s">
        <v>230</v>
      </c>
      <c r="CL20" s="100"/>
      <c r="CM20" s="2"/>
      <c r="CN20" s="2"/>
      <c r="CO20" s="2"/>
      <c r="CP20" s="2"/>
      <c r="CQ20" s="2">
        <v>0</v>
      </c>
      <c r="CR20" s="2" t="s">
        <v>62</v>
      </c>
      <c r="CS20" s="2" t="s">
        <v>230</v>
      </c>
      <c r="CT20" s="100"/>
      <c r="CU20" s="2"/>
      <c r="CV20" s="2"/>
      <c r="CW20" s="2"/>
      <c r="CX20" s="2"/>
      <c r="CY20" s="2">
        <v>0</v>
      </c>
      <c r="CZ20" s="2" t="s">
        <v>62</v>
      </c>
      <c r="DA20" s="2" t="s">
        <v>230</v>
      </c>
      <c r="DB20" s="100"/>
      <c r="DC20" s="2"/>
      <c r="DD20" s="2"/>
      <c r="DE20" s="2"/>
      <c r="DF20" s="2"/>
      <c r="DG20" s="2">
        <v>0</v>
      </c>
      <c r="DH20" s="2" t="s">
        <v>62</v>
      </c>
      <c r="DI20" s="2" t="s">
        <v>230</v>
      </c>
      <c r="DJ20" s="100"/>
      <c r="DK20" s="2"/>
      <c r="DL20" s="2"/>
      <c r="DM20" s="2"/>
      <c r="DN20" s="2"/>
      <c r="DO20" s="2">
        <v>0</v>
      </c>
      <c r="DP20" s="2" t="s">
        <v>62</v>
      </c>
      <c r="DQ20" s="2" t="s">
        <v>230</v>
      </c>
      <c r="DR20" s="100"/>
      <c r="DS20" s="2"/>
      <c r="DT20" s="2"/>
      <c r="DU20" s="2"/>
      <c r="DV20" s="2"/>
      <c r="DW20" s="2">
        <v>0</v>
      </c>
      <c r="DX20" s="2" t="s">
        <v>62</v>
      </c>
      <c r="DY20" s="2" t="s">
        <v>230</v>
      </c>
      <c r="DZ20" s="100"/>
      <c r="EA20" s="2"/>
      <c r="EB20" s="2"/>
      <c r="EC20" s="2"/>
      <c r="ED20" s="2"/>
      <c r="EE20" s="2">
        <v>0</v>
      </c>
      <c r="EF20" s="2" t="s">
        <v>62</v>
      </c>
      <c r="EG20" s="2" t="s">
        <v>230</v>
      </c>
      <c r="EH20" s="100"/>
      <c r="EI20" s="2"/>
      <c r="EJ20" s="2"/>
      <c r="EK20" s="2"/>
      <c r="EL20" s="2"/>
      <c r="EM20" s="2">
        <v>0</v>
      </c>
      <c r="EN20" s="2" t="s">
        <v>62</v>
      </c>
      <c r="EO20" s="2" t="s">
        <v>230</v>
      </c>
      <c r="EP20" s="100"/>
      <c r="EQ20" s="2"/>
      <c r="ER20" s="2"/>
      <c r="ES20" s="2"/>
      <c r="ET20" s="2"/>
      <c r="EU20" s="2">
        <v>0</v>
      </c>
      <c r="EV20" s="2" t="s">
        <v>62</v>
      </c>
      <c r="EW20" s="2" t="s">
        <v>230</v>
      </c>
      <c r="EX20" s="100"/>
      <c r="EY20" s="2"/>
      <c r="EZ20" s="2"/>
      <c r="FA20" s="2"/>
      <c r="FB20" s="2"/>
      <c r="FC20" s="2">
        <v>0</v>
      </c>
      <c r="FD20" s="2" t="s">
        <v>62</v>
      </c>
      <c r="FE20" s="2" t="s">
        <v>230</v>
      </c>
      <c r="FF20" s="100"/>
      <c r="FG20" s="2"/>
      <c r="FH20" s="2"/>
      <c r="FI20" s="2"/>
      <c r="FJ20" s="2"/>
      <c r="FK20" s="2">
        <v>0</v>
      </c>
      <c r="FL20" s="2" t="s">
        <v>62</v>
      </c>
      <c r="FM20" s="2" t="s">
        <v>230</v>
      </c>
      <c r="FN20" s="100"/>
      <c r="FO20" s="2"/>
      <c r="FP20" s="2"/>
      <c r="FQ20" s="2"/>
      <c r="FR20" s="2"/>
      <c r="FS20" s="2">
        <v>0</v>
      </c>
      <c r="FT20" s="2" t="s">
        <v>62</v>
      </c>
      <c r="FU20" s="2" t="s">
        <v>230</v>
      </c>
      <c r="FV20" s="100"/>
      <c r="FW20" s="2"/>
      <c r="FX20" s="2"/>
      <c r="FY20" s="2"/>
      <c r="FZ20" s="2"/>
      <c r="GA20" s="2">
        <v>0</v>
      </c>
      <c r="GB20" s="2" t="s">
        <v>62</v>
      </c>
      <c r="GC20" s="2" t="s">
        <v>230</v>
      </c>
      <c r="GD20" s="100"/>
      <c r="GE20" s="2"/>
      <c r="GF20" s="2"/>
      <c r="GG20" s="2"/>
      <c r="GH20" s="2"/>
      <c r="GI20" s="2">
        <v>0</v>
      </c>
      <c r="GJ20" s="2" t="s">
        <v>62</v>
      </c>
      <c r="GK20" s="2" t="s">
        <v>230</v>
      </c>
      <c r="GL20" s="100"/>
      <c r="GM20" s="2"/>
      <c r="GN20" s="2"/>
      <c r="GO20" s="2"/>
      <c r="GP20" s="2"/>
      <c r="GQ20" s="2">
        <v>0</v>
      </c>
      <c r="GR20" s="2" t="s">
        <v>62</v>
      </c>
      <c r="GS20" s="2" t="s">
        <v>230</v>
      </c>
      <c r="GT20" s="100"/>
      <c r="GU20" s="2"/>
      <c r="GV20" s="2"/>
      <c r="GW20" s="2"/>
      <c r="GX20" s="2"/>
      <c r="GY20" s="2">
        <v>0</v>
      </c>
      <c r="GZ20" s="2" t="s">
        <v>62</v>
      </c>
      <c r="HA20" s="2" t="s">
        <v>230</v>
      </c>
      <c r="HB20" s="100"/>
      <c r="HC20" s="2"/>
      <c r="HD20" s="2"/>
      <c r="HE20" s="2"/>
      <c r="HF20" s="2"/>
      <c r="HG20" s="2">
        <v>0</v>
      </c>
      <c r="HH20" s="2" t="s">
        <v>62</v>
      </c>
      <c r="HI20" s="2" t="s">
        <v>230</v>
      </c>
      <c r="HJ20" s="100"/>
      <c r="HK20" s="2"/>
      <c r="HL20" s="2"/>
      <c r="HM20" s="2"/>
      <c r="HN20" s="2"/>
      <c r="HO20" s="2">
        <v>0</v>
      </c>
      <c r="HP20" s="2" t="s">
        <v>62</v>
      </c>
      <c r="HQ20" s="2" t="s">
        <v>230</v>
      </c>
      <c r="HR20" s="100"/>
      <c r="HS20" s="2"/>
      <c r="HT20" s="2"/>
      <c r="HU20" s="2"/>
      <c r="HV20" s="2"/>
      <c r="HW20" s="2">
        <v>0</v>
      </c>
      <c r="HX20" s="2" t="s">
        <v>62</v>
      </c>
      <c r="HY20" s="2" t="s">
        <v>230</v>
      </c>
      <c r="HZ20" s="100"/>
      <c r="IA20" s="2"/>
      <c r="IB20" s="2"/>
      <c r="IC20" s="2"/>
      <c r="ID20" s="2"/>
      <c r="IE20" s="2">
        <v>0</v>
      </c>
      <c r="IF20" s="2" t="s">
        <v>62</v>
      </c>
      <c r="IG20" s="2" t="s">
        <v>230</v>
      </c>
      <c r="IH20" s="100"/>
      <c r="II20" s="2"/>
      <c r="IJ20" s="2"/>
      <c r="IK20" s="2"/>
      <c r="IL20" s="2"/>
      <c r="IM20" s="2">
        <v>0</v>
      </c>
      <c r="IN20" s="2" t="s">
        <v>62</v>
      </c>
      <c r="IO20" s="2" t="s">
        <v>230</v>
      </c>
      <c r="IP20" s="100"/>
      <c r="IQ20" s="2"/>
      <c r="IR20" s="2"/>
      <c r="IS20" s="2"/>
      <c r="IT20" s="2"/>
      <c r="IU20" s="2">
        <v>0</v>
      </c>
      <c r="IV20" s="2" t="s">
        <v>62</v>
      </c>
    </row>
    <row r="21" spans="2:7" ht="12.75">
      <c r="B21" s="6"/>
      <c r="E21" s="6"/>
      <c r="F21" s="79"/>
      <c r="G21" s="6"/>
    </row>
    <row r="22" spans="2:7" ht="12.75">
      <c r="B22" s="83"/>
      <c r="C22" s="3" t="s">
        <v>276</v>
      </c>
      <c r="D22" s="83"/>
      <c r="E22" s="84"/>
      <c r="F22" s="84"/>
      <c r="G22" s="84"/>
    </row>
    <row r="23" spans="2:7" ht="12.75">
      <c r="B23" s="210"/>
      <c r="C23" s="99"/>
      <c r="D23" s="210"/>
      <c r="E23" s="211"/>
      <c r="F23" s="211"/>
      <c r="G23" s="211"/>
    </row>
    <row r="24" spans="2:7" ht="12.75">
      <c r="B24" s="21" t="s">
        <v>98</v>
      </c>
      <c r="C24" s="99"/>
      <c r="D24" s="210"/>
      <c r="E24" s="211"/>
      <c r="F24" s="211"/>
      <c r="G24" s="211"/>
    </row>
    <row r="25" spans="2:7" ht="12.75">
      <c r="B25" s="6"/>
      <c r="C25" s="86" t="s">
        <v>30</v>
      </c>
      <c r="D25" s="42">
        <v>0.9</v>
      </c>
      <c r="E25" s="6" t="s">
        <v>118</v>
      </c>
      <c r="G25" s="86"/>
    </row>
    <row r="26" spans="2:7" ht="12.75">
      <c r="B26" s="6"/>
      <c r="C26" s="86" t="s">
        <v>31</v>
      </c>
      <c r="D26" s="42">
        <v>1.2</v>
      </c>
      <c r="E26" s="6" t="s">
        <v>118</v>
      </c>
      <c r="G26" s="86"/>
    </row>
    <row r="27" spans="2:7" ht="12.75">
      <c r="B27" s="42"/>
      <c r="C27" s="86" t="s">
        <v>267</v>
      </c>
      <c r="D27" s="42">
        <v>2.6</v>
      </c>
      <c r="E27" s="6" t="s">
        <v>118</v>
      </c>
      <c r="G27" s="86"/>
    </row>
    <row r="28" spans="2:7" ht="12.75">
      <c r="B28" s="42"/>
      <c r="C28" s="86" t="s">
        <v>264</v>
      </c>
      <c r="D28" s="75">
        <v>0.4</v>
      </c>
      <c r="E28" s="6"/>
      <c r="G28" s="86"/>
    </row>
    <row r="29" spans="2:7" ht="12.75">
      <c r="B29" s="6"/>
      <c r="C29" s="6"/>
      <c r="D29" s="6"/>
      <c r="E29" s="6"/>
      <c r="F29" s="6"/>
      <c r="G29" s="6"/>
    </row>
    <row r="30" spans="2:7" ht="12.75">
      <c r="B30" s="21" t="s">
        <v>154</v>
      </c>
      <c r="C30" s="99"/>
      <c r="D30" s="210"/>
      <c r="E30" s="211"/>
      <c r="F30" s="211"/>
      <c r="G30" s="211"/>
    </row>
    <row r="31" spans="2:7" ht="12.75">
      <c r="B31" s="6"/>
      <c r="C31" s="85" t="s">
        <v>99</v>
      </c>
      <c r="D31" s="204">
        <v>0.04</v>
      </c>
      <c r="E31" s="6"/>
      <c r="F31" s="6"/>
      <c r="G31" s="6"/>
    </row>
    <row r="32" spans="2:7" ht="12.75">
      <c r="B32" s="6"/>
      <c r="C32" s="6"/>
      <c r="D32" s="6"/>
      <c r="E32" s="6"/>
      <c r="F32" s="6"/>
      <c r="G32" s="6"/>
    </row>
    <row r="33" spans="2:7" ht="12.75">
      <c r="B33" s="100" t="s">
        <v>275</v>
      </c>
      <c r="C33" s="99"/>
      <c r="D33" s="99"/>
      <c r="E33" s="212"/>
      <c r="F33" s="212"/>
      <c r="G33" s="212"/>
    </row>
    <row r="34" spans="2:7" ht="12.75">
      <c r="B34" s="6"/>
      <c r="C34" s="209" t="s">
        <v>253</v>
      </c>
      <c r="D34" s="46">
        <v>0.0017</v>
      </c>
      <c r="E34" s="6"/>
      <c r="F34" s="6"/>
      <c r="G34" s="46"/>
    </row>
    <row r="35" spans="2:7" ht="6" customHeight="1">
      <c r="B35" s="6"/>
      <c r="C35" s="209"/>
      <c r="D35" s="46"/>
      <c r="E35" s="6"/>
      <c r="F35" s="6"/>
      <c r="G35" s="46"/>
    </row>
    <row r="36" spans="2:7" ht="12.75" customHeight="1">
      <c r="B36" s="6"/>
      <c r="C36" s="333" t="s">
        <v>254</v>
      </c>
      <c r="D36" s="334"/>
      <c r="E36" s="334"/>
      <c r="F36" s="334"/>
      <c r="G36" s="334"/>
    </row>
    <row r="37" spans="2:7" ht="13.5" customHeight="1">
      <c r="B37" s="6"/>
      <c r="C37" s="334"/>
      <c r="D37" s="334"/>
      <c r="E37" s="334"/>
      <c r="F37" s="334"/>
      <c r="G37" s="334"/>
    </row>
    <row r="38" ht="13.5" customHeight="1"/>
    <row r="39" spans="2:7" ht="12.75">
      <c r="B39" s="3"/>
      <c r="C39" s="3" t="s">
        <v>210</v>
      </c>
      <c r="D39" s="3"/>
      <c r="E39" s="4"/>
      <c r="F39" s="4"/>
      <c r="G39" s="4"/>
    </row>
    <row r="40" spans="2:7" ht="12.75">
      <c r="B40" s="99"/>
      <c r="C40" s="99"/>
      <c r="D40" s="99"/>
      <c r="E40" s="212"/>
      <c r="F40" s="212"/>
      <c r="G40" s="212"/>
    </row>
    <row r="41" spans="2:7" ht="12.75">
      <c r="B41" s="6"/>
      <c r="C41" s="85" t="s">
        <v>211</v>
      </c>
      <c r="D41" s="258">
        <v>0.95</v>
      </c>
      <c r="E41" s="6"/>
      <c r="F41" s="2"/>
      <c r="G41" s="6"/>
    </row>
    <row r="42" spans="2:7" ht="12.75">
      <c r="B42" s="6"/>
      <c r="C42" s="85" t="s">
        <v>212</v>
      </c>
      <c r="D42" s="42">
        <v>1</v>
      </c>
      <c r="E42" s="6" t="s">
        <v>125</v>
      </c>
      <c r="F42" s="2"/>
      <c r="G42" s="6"/>
    </row>
    <row r="43" spans="2:7" ht="12.75">
      <c r="B43" s="6"/>
      <c r="C43" s="85" t="s">
        <v>213</v>
      </c>
      <c r="D43" s="258">
        <v>0.04</v>
      </c>
      <c r="E43" s="6"/>
      <c r="F43" s="2"/>
      <c r="G43" s="6"/>
    </row>
    <row r="44" spans="2:7" ht="12.75" customHeight="1">
      <c r="B44" s="6"/>
      <c r="C44" s="171" t="s">
        <v>280</v>
      </c>
      <c r="D44" s="42">
        <v>0.5</v>
      </c>
      <c r="E44" s="6" t="s">
        <v>125</v>
      </c>
      <c r="F44" s="2"/>
      <c r="G44" s="6"/>
    </row>
    <row r="45" spans="2:7" ht="12.75">
      <c r="B45" s="6"/>
      <c r="C45" s="169"/>
      <c r="D45" s="170"/>
      <c r="E45" s="170"/>
      <c r="F45" s="170"/>
      <c r="G45" s="170"/>
    </row>
    <row r="46" spans="2:7" ht="12.75">
      <c r="B46" s="3"/>
      <c r="C46" s="3" t="s">
        <v>277</v>
      </c>
      <c r="D46" s="3"/>
      <c r="E46" s="4"/>
      <c r="F46" s="4"/>
      <c r="G46" s="4"/>
    </row>
    <row r="48" ht="12.75">
      <c r="B48" s="100" t="s">
        <v>278</v>
      </c>
    </row>
    <row r="49" spans="3:5" ht="12.75">
      <c r="C49" s="87" t="s">
        <v>232</v>
      </c>
      <c r="D49" s="75">
        <v>0.6</v>
      </c>
      <c r="E49" s="6"/>
    </row>
    <row r="50" spans="3:5" ht="12.75">
      <c r="C50" s="87" t="s">
        <v>239</v>
      </c>
      <c r="D50" s="75">
        <v>0.15</v>
      </c>
      <c r="E50" s="6"/>
    </row>
    <row r="51" spans="2:7" ht="12.75">
      <c r="B51" s="99"/>
      <c r="C51" s="87" t="s">
        <v>240</v>
      </c>
      <c r="D51" s="200">
        <f>1-(D49+D50)</f>
        <v>0.25</v>
      </c>
      <c r="E51" s="6"/>
      <c r="F51" s="212"/>
      <c r="G51" s="212"/>
    </row>
    <row r="52" spans="2:7" ht="12.75">
      <c r="B52" s="6"/>
      <c r="C52" s="85" t="s">
        <v>100</v>
      </c>
      <c r="D52" s="258">
        <v>0.8</v>
      </c>
      <c r="E52" s="6"/>
      <c r="F52" s="2"/>
      <c r="G52" s="6"/>
    </row>
    <row r="53" spans="2:7" ht="12.75">
      <c r="B53" s="6"/>
      <c r="C53" s="6" t="s">
        <v>101</v>
      </c>
      <c r="D53" s="173">
        <f>1-D52</f>
        <v>0.19999999999999996</v>
      </c>
      <c r="E53" s="6"/>
      <c r="F53" s="2"/>
      <c r="G53" s="6"/>
    </row>
    <row r="54" spans="2:7" ht="12.75">
      <c r="B54" s="6"/>
      <c r="C54" s="87" t="s">
        <v>91</v>
      </c>
      <c r="D54" s="42">
        <f>3.3</f>
        <v>3.3</v>
      </c>
      <c r="E54" s="6" t="s">
        <v>92</v>
      </c>
      <c r="F54" s="2"/>
      <c r="G54" s="6"/>
    </row>
    <row r="55" spans="2:7" ht="12.75">
      <c r="B55" s="6"/>
      <c r="C55" s="29" t="s">
        <v>102</v>
      </c>
      <c r="D55" s="45">
        <v>6</v>
      </c>
      <c r="E55" s="6" t="s">
        <v>95</v>
      </c>
      <c r="F55" s="2"/>
      <c r="G55" s="6"/>
    </row>
    <row r="56" spans="2:7" ht="12.75">
      <c r="B56" s="6"/>
      <c r="C56" s="29" t="s">
        <v>103</v>
      </c>
      <c r="D56" s="45">
        <v>2</v>
      </c>
      <c r="E56" s="6" t="s">
        <v>95</v>
      </c>
      <c r="F56" s="2"/>
      <c r="G56" s="6"/>
    </row>
    <row r="57" spans="2:7" ht="12.75">
      <c r="B57" s="6"/>
      <c r="C57" s="29" t="s">
        <v>178</v>
      </c>
      <c r="D57" s="74">
        <v>3</v>
      </c>
      <c r="E57" s="6" t="s">
        <v>97</v>
      </c>
      <c r="F57" s="2"/>
      <c r="G57" s="6"/>
    </row>
    <row r="58" spans="2:7" ht="12.75">
      <c r="B58" s="6"/>
      <c r="C58" s="29" t="s">
        <v>104</v>
      </c>
      <c r="D58" s="75">
        <v>0.4</v>
      </c>
      <c r="E58" s="6"/>
      <c r="F58" s="2"/>
      <c r="G58" s="6"/>
    </row>
    <row r="59" spans="2:7" ht="12.75">
      <c r="B59" s="6"/>
      <c r="C59" s="29" t="s">
        <v>243</v>
      </c>
      <c r="D59" s="75">
        <v>0.7</v>
      </c>
      <c r="E59" s="6"/>
      <c r="F59" s="2"/>
      <c r="G59" s="6"/>
    </row>
    <row r="60" spans="2:7" ht="12.75">
      <c r="B60" s="6"/>
      <c r="C60" s="226" t="s">
        <v>273</v>
      </c>
      <c r="D60" s="227">
        <v>325</v>
      </c>
      <c r="E60" s="226" t="s">
        <v>53</v>
      </c>
      <c r="F60" s="226"/>
      <c r="G60" s="226"/>
    </row>
    <row r="61" spans="2:7" ht="12.75">
      <c r="B61" s="6"/>
      <c r="C61" s="29"/>
      <c r="D61" s="75"/>
      <c r="E61" s="6"/>
      <c r="F61" s="2"/>
      <c r="G61" s="6"/>
    </row>
    <row r="62" spans="2:7" ht="12.75">
      <c r="B62" s="100" t="s">
        <v>279</v>
      </c>
      <c r="C62" s="99"/>
      <c r="D62" s="99"/>
      <c r="E62" s="205"/>
      <c r="F62" s="205"/>
      <c r="G62" s="205"/>
    </row>
    <row r="63" spans="2:5" ht="12.75">
      <c r="B63" s="6"/>
      <c r="C63" s="29" t="s">
        <v>179</v>
      </c>
      <c r="D63" s="74">
        <v>3</v>
      </c>
      <c r="E63" s="6" t="s">
        <v>97</v>
      </c>
    </row>
    <row r="64" spans="2:5" ht="12.75">
      <c r="B64" s="6"/>
      <c r="C64" s="6" t="s">
        <v>201</v>
      </c>
      <c r="D64" s="6">
        <v>10</v>
      </c>
      <c r="E64" s="6"/>
    </row>
    <row r="65" spans="2:7" ht="12.75">
      <c r="B65" s="6"/>
      <c r="C65" s="87" t="s">
        <v>91</v>
      </c>
      <c r="D65" s="42">
        <f>3.3</f>
        <v>3.3</v>
      </c>
      <c r="E65" s="6" t="s">
        <v>92</v>
      </c>
      <c r="F65" s="108"/>
      <c r="G65" s="44"/>
    </row>
    <row r="66" spans="2:7" ht="12.75">
      <c r="B66" s="6"/>
      <c r="F66" s="2"/>
      <c r="G66" s="6"/>
    </row>
    <row r="67" spans="2:7" ht="12.75">
      <c r="B67" s="47"/>
      <c r="C67" s="3" t="s">
        <v>195</v>
      </c>
      <c r="D67" s="3"/>
      <c r="E67" s="47"/>
      <c r="F67" s="47"/>
      <c r="G67" s="47"/>
    </row>
    <row r="69" ht="12.75">
      <c r="B69" s="100" t="s">
        <v>293</v>
      </c>
    </row>
    <row r="70" spans="2:5" ht="12.75">
      <c r="B70" s="100"/>
      <c r="C70" s="29" t="s">
        <v>96</v>
      </c>
      <c r="D70" s="74">
        <v>3</v>
      </c>
      <c r="E70" s="6" t="s">
        <v>97</v>
      </c>
    </row>
    <row r="71" spans="2:5" ht="12.75">
      <c r="B71" s="100"/>
      <c r="C71" s="2" t="s">
        <v>207</v>
      </c>
      <c r="D71" s="45">
        <v>1.5</v>
      </c>
      <c r="E71" s="6" t="s">
        <v>92</v>
      </c>
    </row>
    <row r="72" spans="3:5" ht="12.75">
      <c r="C72" s="29" t="s">
        <v>189</v>
      </c>
      <c r="D72" s="6">
        <v>30</v>
      </c>
      <c r="E72" s="6"/>
    </row>
    <row r="73" spans="3:5" ht="12.75">
      <c r="C73" s="29" t="s">
        <v>55</v>
      </c>
      <c r="D73" s="6">
        <v>640.29</v>
      </c>
      <c r="E73" s="6" t="s">
        <v>56</v>
      </c>
    </row>
    <row r="74" spans="3:5" ht="12.75">
      <c r="C74" s="29" t="s">
        <v>190</v>
      </c>
      <c r="D74" s="42">
        <v>16.8</v>
      </c>
      <c r="E74" s="6" t="s">
        <v>62</v>
      </c>
    </row>
    <row r="75" spans="3:5" ht="12.75">
      <c r="C75" s="29" t="s">
        <v>191</v>
      </c>
      <c r="D75" s="74">
        <v>6048</v>
      </c>
      <c r="E75" s="6" t="s">
        <v>53</v>
      </c>
    </row>
    <row r="76" spans="3:5" ht="12.75">
      <c r="C76" s="2" t="s">
        <v>209</v>
      </c>
      <c r="D76" s="2">
        <v>500</v>
      </c>
      <c r="E76" s="2" t="s">
        <v>68</v>
      </c>
    </row>
    <row r="77" spans="2:5" ht="12.75">
      <c r="B77" s="198"/>
      <c r="C77" s="2" t="s">
        <v>208</v>
      </c>
      <c r="D77" s="159">
        <v>0.11</v>
      </c>
      <c r="E77" s="2"/>
    </row>
    <row r="78" spans="3:5" ht="12.75">
      <c r="C78" s="2" t="s">
        <v>154</v>
      </c>
      <c r="D78" s="159">
        <f>D31</f>
        <v>0.04</v>
      </c>
      <c r="E78" s="2"/>
    </row>
    <row r="79" spans="4:5" ht="12.75">
      <c r="D79" s="6"/>
      <c r="E79" s="6"/>
    </row>
    <row r="80" ht="12.75">
      <c r="B80" s="148" t="s">
        <v>256</v>
      </c>
    </row>
    <row r="81" spans="3:5" ht="12.75">
      <c r="C81" s="29" t="s">
        <v>94</v>
      </c>
      <c r="D81" s="6">
        <v>9</v>
      </c>
      <c r="E81" s="6" t="s">
        <v>95</v>
      </c>
    </row>
    <row r="82" spans="4:5" ht="12.75">
      <c r="D82" s="6"/>
      <c r="E82" s="6"/>
    </row>
  </sheetData>
  <mergeCells count="1">
    <mergeCell ref="C36:G37"/>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AM132"/>
  <sheetViews>
    <sheetView workbookViewId="0" topLeftCell="A1">
      <selection activeCell="A1" sqref="A1"/>
    </sheetView>
  </sheetViews>
  <sheetFormatPr defaultColWidth="11.421875" defaultRowHeight="12.75"/>
  <cols>
    <col min="1" max="1" width="2.7109375" style="1" customWidth="1"/>
    <col min="2" max="2" width="4.7109375" style="1" customWidth="1"/>
    <col min="3" max="5" width="11.421875" style="1" customWidth="1"/>
    <col min="6" max="6" width="12.8515625" style="1" customWidth="1"/>
    <col min="7" max="7" width="9.7109375" style="1" customWidth="1"/>
    <col min="8" max="9" width="6.7109375" style="1" customWidth="1"/>
    <col min="10" max="10" width="2.7109375" style="1" customWidth="1"/>
    <col min="11" max="12" width="6.7109375" style="1" customWidth="1"/>
    <col min="13" max="13" width="2.7109375" style="1" customWidth="1"/>
    <col min="14" max="15" width="6.7109375" style="1" customWidth="1"/>
    <col min="16" max="16" width="2.7109375" style="1" customWidth="1"/>
    <col min="17" max="18" width="6.7109375" style="1" customWidth="1"/>
    <col min="19" max="19" width="2.7109375" style="1" customWidth="1"/>
    <col min="20" max="21" width="6.7109375" style="1" customWidth="1"/>
    <col min="22" max="22" width="2.7109375" style="1" customWidth="1"/>
    <col min="23" max="24" width="6.7109375" style="1" customWidth="1"/>
    <col min="25" max="26" width="11.421875" style="1" customWidth="1"/>
    <col min="27" max="27" width="15.7109375" style="1" customWidth="1"/>
    <col min="28" max="28" width="24.28125" style="1" customWidth="1"/>
    <col min="29" max="16384" width="11.421875" style="1" customWidth="1"/>
  </cols>
  <sheetData>
    <row r="1" spans="3:37" ht="18" customHeight="1">
      <c r="C1" s="6"/>
      <c r="D1" s="6"/>
      <c r="E1" s="6"/>
      <c r="F1" s="6"/>
      <c r="G1" s="6"/>
      <c r="H1" s="6"/>
      <c r="I1" s="91"/>
      <c r="J1" s="6"/>
      <c r="K1" s="6"/>
      <c r="L1" s="6"/>
      <c r="M1" s="6"/>
      <c r="N1" s="6"/>
      <c r="O1" s="91"/>
      <c r="P1" s="6"/>
      <c r="Q1" s="6"/>
      <c r="R1" s="6"/>
      <c r="S1" s="6"/>
      <c r="T1" s="6"/>
      <c r="U1" s="91"/>
      <c r="V1" s="6"/>
      <c r="W1" s="6"/>
      <c r="X1" s="6"/>
      <c r="Y1" s="6"/>
      <c r="Z1" s="6"/>
      <c r="AA1" s="6"/>
      <c r="AB1" s="6"/>
      <c r="AC1" s="91"/>
      <c r="AD1" s="6"/>
      <c r="AE1" s="6"/>
      <c r="AF1" s="6"/>
      <c r="AG1" s="6"/>
      <c r="AH1" s="91"/>
      <c r="AI1" s="6"/>
      <c r="AJ1" s="6"/>
      <c r="AK1" s="6"/>
    </row>
    <row r="2" spans="2:37" ht="12.75">
      <c r="B2" s="3"/>
      <c r="C2" s="3" t="s">
        <v>184</v>
      </c>
      <c r="D2" s="3"/>
      <c r="E2" s="3"/>
      <c r="F2" s="3"/>
      <c r="G2" s="3"/>
      <c r="H2" s="3"/>
      <c r="I2" s="3"/>
      <c r="J2" s="3"/>
      <c r="K2" s="3"/>
      <c r="L2" s="3"/>
      <c r="M2" s="3"/>
      <c r="N2" s="3"/>
      <c r="O2" s="3"/>
      <c r="P2" s="3"/>
      <c r="Q2" s="3"/>
      <c r="R2" s="3"/>
      <c r="S2" s="3"/>
      <c r="T2" s="3"/>
      <c r="U2" s="3"/>
      <c r="V2" s="3"/>
      <c r="W2" s="3"/>
      <c r="X2" s="3"/>
      <c r="Y2" s="6"/>
      <c r="Z2" s="6"/>
      <c r="AA2" s="6"/>
      <c r="AB2" s="6"/>
      <c r="AC2" s="91"/>
      <c r="AD2" s="6"/>
      <c r="AE2" s="6"/>
      <c r="AF2" s="6"/>
      <c r="AG2" s="6"/>
      <c r="AH2" s="91"/>
      <c r="AI2" s="6"/>
      <c r="AJ2" s="6"/>
      <c r="AK2" s="6"/>
    </row>
    <row r="3" spans="2:37" ht="12.75">
      <c r="B3" s="6"/>
      <c r="C3" s="29"/>
      <c r="D3" s="6"/>
      <c r="E3" s="6"/>
      <c r="F3" s="6"/>
      <c r="G3" s="90"/>
      <c r="H3" s="6"/>
      <c r="I3" s="6"/>
      <c r="J3" s="6"/>
      <c r="K3" s="6"/>
      <c r="L3" s="6"/>
      <c r="M3" s="6"/>
      <c r="N3" s="6"/>
      <c r="O3" s="6"/>
      <c r="P3" s="6"/>
      <c r="Q3" s="6"/>
      <c r="R3" s="6"/>
      <c r="S3" s="6"/>
      <c r="T3" s="6"/>
      <c r="U3" s="6"/>
      <c r="V3" s="6"/>
      <c r="W3" s="6"/>
      <c r="X3" s="6"/>
      <c r="Y3" s="6"/>
      <c r="Z3" s="6"/>
      <c r="AA3" s="6"/>
      <c r="AB3" s="6"/>
      <c r="AC3" s="91"/>
      <c r="AD3" s="6"/>
      <c r="AE3" s="6"/>
      <c r="AF3" s="6"/>
      <c r="AG3" s="6"/>
      <c r="AH3" s="91"/>
      <c r="AI3" s="6"/>
      <c r="AJ3" s="6"/>
      <c r="AK3" s="6"/>
    </row>
    <row r="4" spans="3:37" ht="12.75">
      <c r="C4" s="29"/>
      <c r="D4" s="6"/>
      <c r="E4" s="6"/>
      <c r="F4" s="6"/>
      <c r="G4" s="90"/>
      <c r="H4" s="331" t="s">
        <v>30</v>
      </c>
      <c r="I4" s="335"/>
      <c r="J4" s="335"/>
      <c r="K4" s="335"/>
      <c r="L4" s="336"/>
      <c r="N4" s="331" t="s">
        <v>31</v>
      </c>
      <c r="O4" s="335"/>
      <c r="P4" s="335"/>
      <c r="Q4" s="335"/>
      <c r="R4" s="336"/>
      <c r="T4" s="331" t="s">
        <v>116</v>
      </c>
      <c r="U4" s="335"/>
      <c r="V4" s="335"/>
      <c r="W4" s="335"/>
      <c r="X4" s="336"/>
      <c r="Y4" s="6"/>
      <c r="Z4" s="6"/>
      <c r="AA4" s="6"/>
      <c r="AB4" s="6"/>
      <c r="AC4" s="91"/>
      <c r="AD4" s="6"/>
      <c r="AE4" s="6"/>
      <c r="AF4" s="6"/>
      <c r="AG4" s="6"/>
      <c r="AH4" s="91"/>
      <c r="AI4" s="6"/>
      <c r="AJ4" s="6"/>
      <c r="AK4" s="6"/>
    </row>
    <row r="5" spans="2:37" ht="6" customHeight="1">
      <c r="B5" s="6"/>
      <c r="C5" s="6"/>
      <c r="D5" s="29"/>
      <c r="E5" s="6"/>
      <c r="F5" s="6"/>
      <c r="G5" s="6"/>
      <c r="H5" s="90"/>
      <c r="I5" s="6"/>
      <c r="J5" s="6"/>
      <c r="K5" s="6"/>
      <c r="L5" s="6"/>
      <c r="M5" s="6"/>
      <c r="N5" s="90"/>
      <c r="O5" s="6"/>
      <c r="P5" s="6"/>
      <c r="Q5" s="6"/>
      <c r="R5" s="6"/>
      <c r="S5" s="6"/>
      <c r="T5" s="90"/>
      <c r="U5" s="6"/>
      <c r="V5" s="6"/>
      <c r="W5" s="6"/>
      <c r="X5" s="6"/>
      <c r="Y5" s="6"/>
      <c r="Z5" s="6"/>
      <c r="AA5" s="6"/>
      <c r="AB5" s="6"/>
      <c r="AC5" s="91"/>
      <c r="AD5" s="6"/>
      <c r="AE5" s="6"/>
      <c r="AF5" s="6"/>
      <c r="AG5" s="6"/>
      <c r="AH5" s="91"/>
      <c r="AI5" s="6"/>
      <c r="AJ5" s="6"/>
      <c r="AK5" s="6"/>
    </row>
    <row r="6" spans="2:37" ht="12.75">
      <c r="B6" s="6"/>
      <c r="C6" s="29"/>
      <c r="D6" s="6"/>
      <c r="E6" s="6"/>
      <c r="F6" s="6"/>
      <c r="G6" s="90"/>
      <c r="H6" s="6" t="s">
        <v>114</v>
      </c>
      <c r="I6" s="6"/>
      <c r="J6" s="6"/>
      <c r="K6" s="6" t="s">
        <v>115</v>
      </c>
      <c r="L6" s="6"/>
      <c r="M6" s="6"/>
      <c r="N6" s="6" t="s">
        <v>114</v>
      </c>
      <c r="O6" s="6"/>
      <c r="P6" s="6"/>
      <c r="Q6" s="6" t="s">
        <v>115</v>
      </c>
      <c r="R6" s="6"/>
      <c r="S6" s="6"/>
      <c r="T6" s="6" t="s">
        <v>114</v>
      </c>
      <c r="U6" s="6"/>
      <c r="V6" s="6"/>
      <c r="W6" s="6" t="s">
        <v>115</v>
      </c>
      <c r="X6" s="6"/>
      <c r="Y6" s="6"/>
      <c r="Z6" s="6"/>
      <c r="AA6" s="6"/>
      <c r="AB6" s="6"/>
      <c r="AC6" s="91"/>
      <c r="AD6" s="6"/>
      <c r="AE6" s="6"/>
      <c r="AF6" s="6"/>
      <c r="AG6" s="6"/>
      <c r="AH6" s="91"/>
      <c r="AI6" s="6"/>
      <c r="AJ6" s="6"/>
      <c r="AK6" s="6"/>
    </row>
    <row r="7" spans="2:37" ht="12.75">
      <c r="B7" s="6"/>
      <c r="C7" s="29"/>
      <c r="D7" s="29"/>
      <c r="E7" s="29"/>
      <c r="F7" s="22" t="s">
        <v>20</v>
      </c>
      <c r="G7" s="6"/>
      <c r="H7" s="318">
        <f>'Profils d''appel'!K12*'Profils d''appel'!D11</f>
        <v>0.53</v>
      </c>
      <c r="I7" s="319">
        <f>'Profils d''appel'!E11</f>
        <v>200</v>
      </c>
      <c r="J7" s="320"/>
      <c r="K7" s="318">
        <f>'Profils d''appel'!K17*'Profils d''appel'!D16</f>
        <v>0.784</v>
      </c>
      <c r="L7" s="319">
        <f>'Profils d''appel'!E16</f>
        <v>140</v>
      </c>
      <c r="M7" s="320"/>
      <c r="N7" s="318">
        <f>'Profils d''appel'!K25*'Profils d''appel'!D23</f>
        <v>0.3</v>
      </c>
      <c r="O7" s="319">
        <f>'Profils d''appel'!E23</f>
        <v>350</v>
      </c>
      <c r="P7" s="320"/>
      <c r="Q7" s="318">
        <f>'Profils d''appel'!K29*'Profils d''appel'!D28</f>
        <v>0.776</v>
      </c>
      <c r="R7" s="319">
        <f>'Profils d''appel'!E28</f>
        <v>175</v>
      </c>
      <c r="S7" s="320"/>
      <c r="T7" s="318">
        <f>'Profils d''appel'!M35*'Profils d''appel'!D35</f>
        <v>0.6375</v>
      </c>
      <c r="U7" s="319">
        <f>'Profils d''appel'!E35</f>
        <v>112</v>
      </c>
      <c r="V7" s="320"/>
      <c r="W7" s="318">
        <f>'Profils d''appel'!M35*'Profils d''appel'!D40</f>
        <v>0.765</v>
      </c>
      <c r="X7" s="319">
        <f>'Profils d''appel'!E40</f>
        <v>105</v>
      </c>
      <c r="Y7" s="6"/>
      <c r="Z7" s="6"/>
      <c r="AA7" s="6"/>
      <c r="AB7" s="6"/>
      <c r="AC7" s="91"/>
      <c r="AD7" s="6"/>
      <c r="AE7" s="6"/>
      <c r="AF7" s="6"/>
      <c r="AG7" s="6"/>
      <c r="AH7" s="91"/>
      <c r="AI7" s="6"/>
      <c r="AJ7" s="6"/>
      <c r="AK7" s="6"/>
    </row>
    <row r="8" spans="2:37" ht="12.75">
      <c r="B8" s="6"/>
      <c r="C8" s="29"/>
      <c r="D8" s="29"/>
      <c r="E8" s="29"/>
      <c r="F8" s="24" t="s">
        <v>22</v>
      </c>
      <c r="G8" s="6"/>
      <c r="H8" s="321">
        <f>'Profils d''appel'!L12*'Profils d''appel'!D12</f>
        <v>0.44649999999999995</v>
      </c>
      <c r="I8" s="322">
        <f>'Profils d''appel'!E12</f>
        <v>250</v>
      </c>
      <c r="J8" s="320"/>
      <c r="K8" s="321">
        <f>'Profils d''appel'!L17*'Profils d''appel'!D16</f>
        <v>0.19599999999999995</v>
      </c>
      <c r="L8" s="322">
        <f>'Profils d''appel'!E16</f>
        <v>140</v>
      </c>
      <c r="M8" s="320"/>
      <c r="N8" s="321">
        <f>'Profils d''appel'!L25*'Profils d''appel'!D24</f>
        <v>0.6649999999999999</v>
      </c>
      <c r="O8" s="322">
        <f>'Profils d''appel'!E24</f>
        <v>500</v>
      </c>
      <c r="P8" s="320"/>
      <c r="Q8" s="321">
        <f>'Profils d''appel'!L29*'Profils d''appel'!D28</f>
        <v>0.19399999999999995</v>
      </c>
      <c r="R8" s="322">
        <f>'Profils d''appel'!E28</f>
        <v>175</v>
      </c>
      <c r="S8" s="320"/>
      <c r="T8" s="321">
        <f>'Profils d''appel'!M36*'Profils d''appel'!D35+'Profils d''appel'!M39*'Profils d''appel'!D36</f>
        <v>0.3125</v>
      </c>
      <c r="U8" s="322">
        <f>1/(('Profils d''appel'!M36/('Profils d''appel'!M36+'Profils d''appel'!M39)/'Profils d''appel'!E35+('Profils d''appel'!M39/('Profils d''appel'!M36+'Profils d''appel'!M39)/'Profils d''appel'!E36)))</f>
        <v>112</v>
      </c>
      <c r="V8" s="320"/>
      <c r="W8" s="321">
        <f>'Profils d''appel'!M36*'Profils d''appel'!D40+'Profils d''appel'!M39*'Profils d''appel'!D41</f>
        <v>0.215</v>
      </c>
      <c r="X8" s="322">
        <f>1/(('Profils d''appel'!M36/('Profils d''appel'!M36+'Profils d''appel'!M39)/'Profils d''appel'!E40+('Profils d''appel'!M39/('Profils d''appel'!M39+'Profils d''appel'!M36)/'Profils d''appel'!E41)))</f>
        <v>105.00000000000001</v>
      </c>
      <c r="Y8" s="6"/>
      <c r="Z8" s="6"/>
      <c r="AA8" s="6"/>
      <c r="AB8" s="6"/>
      <c r="AC8" s="91"/>
      <c r="AD8" s="6"/>
      <c r="AE8" s="6"/>
      <c r="AF8" s="6"/>
      <c r="AG8" s="6"/>
      <c r="AH8" s="91"/>
      <c r="AI8" s="6"/>
      <c r="AJ8" s="6"/>
      <c r="AK8" s="6"/>
    </row>
    <row r="9" spans="2:37" ht="12.75">
      <c r="B9" s="6"/>
      <c r="C9" s="29"/>
      <c r="D9" s="29"/>
      <c r="E9" s="29"/>
      <c r="F9" s="24" t="s">
        <v>23</v>
      </c>
      <c r="G9" s="6"/>
      <c r="H9" s="321">
        <f>'Profils d''appel'!M12*'Profils d''appel'!D12</f>
        <v>0.02350000000000002</v>
      </c>
      <c r="I9" s="322">
        <f>'Profils d''appel'!E12</f>
        <v>250</v>
      </c>
      <c r="J9" s="320"/>
      <c r="K9" s="321">
        <f>'Profils d''appel'!M17*'Profils d''appel'!D17</f>
        <v>0.020000000000000018</v>
      </c>
      <c r="L9" s="322">
        <f>'Profils d''appel'!E17</f>
        <v>170</v>
      </c>
      <c r="M9" s="320"/>
      <c r="N9" s="321">
        <f>'Profils d''appel'!M25*'Profils d''appel'!D24</f>
        <v>0.03500000000000003</v>
      </c>
      <c r="O9" s="322">
        <f>'Profils d''appel'!E24</f>
        <v>500</v>
      </c>
      <c r="P9" s="320"/>
      <c r="Q9" s="321">
        <f>'Profils d''appel'!M29*'Profils d''appel'!D29</f>
        <v>0.030000000000000027</v>
      </c>
      <c r="R9" s="322">
        <f>'Profils d''appel'!E29</f>
        <v>210</v>
      </c>
      <c r="S9" s="320"/>
      <c r="T9" s="321">
        <f>'Profils d''appel'!M40*'Profils d''appel'!D36</f>
        <v>0.04999999999999999</v>
      </c>
      <c r="U9" s="322">
        <f>'Profils d''appel'!E36</f>
        <v>112</v>
      </c>
      <c r="V9" s="320"/>
      <c r="W9" s="321">
        <f>'Profils d''appel'!M40*'Profils d''appel'!D41</f>
        <v>0.01999999999999999</v>
      </c>
      <c r="X9" s="322">
        <f>'Profils d''appel'!E41</f>
        <v>105</v>
      </c>
      <c r="Y9" s="6"/>
      <c r="Z9" s="6"/>
      <c r="AA9" s="6"/>
      <c r="AB9" s="6"/>
      <c r="AC9" s="91"/>
      <c r="AD9" s="6"/>
      <c r="AE9" s="6"/>
      <c r="AF9" s="6"/>
      <c r="AG9" s="6"/>
      <c r="AH9" s="91"/>
      <c r="AI9" s="6"/>
      <c r="AJ9" s="6"/>
      <c r="AK9" s="6"/>
    </row>
    <row r="10" spans="2:37" ht="12.75">
      <c r="B10" s="6"/>
      <c r="C10" s="29"/>
      <c r="D10" s="29"/>
      <c r="E10" s="29"/>
      <c r="F10" s="25" t="s">
        <v>15</v>
      </c>
      <c r="G10" s="6"/>
      <c r="H10" s="323">
        <f>SUM(H7:H9)</f>
        <v>1</v>
      </c>
      <c r="I10" s="324">
        <f>1/(H7/I7+H8/I8+H9/I9)</f>
        <v>220.7505518763797</v>
      </c>
      <c r="J10" s="320"/>
      <c r="K10" s="323">
        <f>SUM(K7:K9)</f>
        <v>1</v>
      </c>
      <c r="L10" s="324">
        <f>1/(K7/L7+K8/L8+K9/L9)</f>
        <v>140.49586776859505</v>
      </c>
      <c r="M10" s="320"/>
      <c r="N10" s="323">
        <f>SUM(N7:N9)</f>
        <v>0.9999999999999999</v>
      </c>
      <c r="O10" s="324">
        <f>1/(N7/O7+N8/O8+N9/O9)</f>
        <v>443.0379746835443</v>
      </c>
      <c r="P10" s="320"/>
      <c r="Q10" s="323">
        <f>SUM(Q7:Q9)</f>
        <v>1</v>
      </c>
      <c r="R10" s="324">
        <f>1/(Q7/R7+Q8/R8+Q9/R9)</f>
        <v>175.8793969849246</v>
      </c>
      <c r="S10" s="320"/>
      <c r="T10" s="323">
        <f>SUM(T7:T9)</f>
        <v>1</v>
      </c>
      <c r="U10" s="324">
        <f>1/(T7/U7+T8/U8+T9/U9)</f>
        <v>112</v>
      </c>
      <c r="V10" s="320"/>
      <c r="W10" s="323">
        <f>SUM(W7:W9)</f>
        <v>1</v>
      </c>
      <c r="X10" s="324">
        <f>1/(W7/X7+W8/X8+W9/X9)</f>
        <v>105.00000000000001</v>
      </c>
      <c r="Y10" s="6"/>
      <c r="Z10" s="6"/>
      <c r="AA10" s="6"/>
      <c r="AB10" s="6"/>
      <c r="AC10" s="91"/>
      <c r="AD10" s="6"/>
      <c r="AE10" s="6"/>
      <c r="AF10" s="6"/>
      <c r="AG10" s="6"/>
      <c r="AH10" s="91"/>
      <c r="AI10" s="6"/>
      <c r="AJ10" s="6"/>
      <c r="AK10" s="6"/>
    </row>
    <row r="11" spans="2:37" ht="12.75">
      <c r="B11" s="21" t="s">
        <v>159</v>
      </c>
      <c r="C11" s="29"/>
      <c r="D11" s="6"/>
      <c r="E11" s="6"/>
      <c r="F11" s="6"/>
      <c r="G11" s="90"/>
      <c r="H11" s="320"/>
      <c r="I11" s="320"/>
      <c r="J11" s="320"/>
      <c r="K11" s="320"/>
      <c r="L11" s="320"/>
      <c r="M11" s="320"/>
      <c r="N11" s="320"/>
      <c r="O11" s="320"/>
      <c r="P11" s="320"/>
      <c r="Q11" s="320"/>
      <c r="R11" s="320"/>
      <c r="S11" s="320"/>
      <c r="T11" s="320"/>
      <c r="U11" s="320"/>
      <c r="V11" s="320"/>
      <c r="W11" s="320"/>
      <c r="X11" s="320"/>
      <c r="Y11" s="6"/>
      <c r="Z11" s="6"/>
      <c r="AA11" s="6"/>
      <c r="AB11" s="6"/>
      <c r="AC11" s="91"/>
      <c r="AD11" s="6"/>
      <c r="AE11" s="6"/>
      <c r="AF11" s="6"/>
      <c r="AG11" s="6"/>
      <c r="AH11" s="91"/>
      <c r="AI11" s="6"/>
      <c r="AJ11" s="6"/>
      <c r="AK11" s="6"/>
    </row>
    <row r="12" spans="2:37" ht="12.75">
      <c r="B12" s="6"/>
      <c r="C12" s="29" t="s">
        <v>105</v>
      </c>
      <c r="D12" s="6"/>
      <c r="E12" s="6"/>
      <c r="F12" s="6" t="s">
        <v>44</v>
      </c>
      <c r="G12" s="6" t="s">
        <v>106</v>
      </c>
      <c r="H12" s="6"/>
      <c r="I12" s="88">
        <f>(H7*CACAAHP/(I7/60)+H8*CACAAHC/(I8/60)+H9*CACAAHBN/(I9/60))*100</f>
        <v>0.026225040000000005</v>
      </c>
      <c r="J12" s="6"/>
      <c r="K12" s="6"/>
      <c r="L12" s="88">
        <f>(K7*CACAAHP/(L7/60)+K8*CACAAHC/(L8/60)+K9*CACAAHBN/(L9/60))*100</f>
        <v>0.04478188235294117</v>
      </c>
      <c r="M12" s="6"/>
      <c r="N12" s="6"/>
      <c r="O12" s="88">
        <f>(N7*CACAAHP/(O7/60)+N8*CACAAHC/(O8/60)+N9*CACAAHBN/(O9/60))*100</f>
        <v>0.01189405714285714</v>
      </c>
      <c r="P12" s="6"/>
      <c r="Q12" s="6"/>
      <c r="R12" s="88">
        <f>(Q7*CACAAHP/(R7/60)+Q8*CACAAHC/(R8/60)+Q9*CACAAHBN/(R9/60))*100</f>
        <v>0.03560605714285714</v>
      </c>
      <c r="S12" s="6"/>
      <c r="T12" s="6"/>
      <c r="U12" s="88">
        <f>(T7*CACAAHP/(U7/60)+T8*CACAAHC/(U8/60)+T9*CACAAHBN/(U9/60))*100</f>
        <v>0.05246651785714286</v>
      </c>
      <c r="V12" s="6"/>
      <c r="W12" s="6"/>
      <c r="X12" s="88">
        <f>(W7*CACAAHP/(X7/60)+W8*CACAAHC/(X8/60)+W9*CACAAHBN/(X9/60))*100</f>
        <v>0.05936285714285715</v>
      </c>
      <c r="Y12" s="6"/>
      <c r="Z12" s="6"/>
      <c r="AA12" s="6"/>
      <c r="AB12" s="6"/>
      <c r="AC12" s="91"/>
      <c r="AD12" s="6"/>
      <c r="AE12" s="6"/>
      <c r="AF12" s="6"/>
      <c r="AG12" s="6"/>
      <c r="AH12" s="91"/>
      <c r="AI12" s="6"/>
      <c r="AJ12" s="6"/>
      <c r="AK12" s="6"/>
    </row>
    <row r="13" spans="2:37" ht="12.75">
      <c r="B13" s="6"/>
      <c r="C13" s="6" t="s">
        <v>105</v>
      </c>
      <c r="D13" s="6"/>
      <c r="E13" s="6"/>
      <c r="F13" s="6" t="s">
        <v>51</v>
      </c>
      <c r="G13" s="6" t="s">
        <v>106</v>
      </c>
      <c r="H13" s="6"/>
      <c r="I13" s="88">
        <f>(H7*CAPROHP/(I7/60)+H8*CAPROHC/(I8/60)+H9*CAPROHBN/(I9/60))*100</f>
        <v>0.08243171999999999</v>
      </c>
      <c r="J13" s="6"/>
      <c r="K13" s="6"/>
      <c r="L13" s="88">
        <f>(K7*CAPROHP/(L7/60)+K8*CAPROHC/(L8/60)+K9*CAPROHBN/(L9/60))*100</f>
        <v>0.14068799999999998</v>
      </c>
      <c r="M13" s="6"/>
      <c r="N13" s="6"/>
      <c r="O13" s="88">
        <f>(N7*CAPROHP/(O7/60)+N8*CAPROHC/(O8/60)+N9*CAPROHBN/(O9/60))*100</f>
        <v>0.037408028571428574</v>
      </c>
      <c r="P13" s="6"/>
      <c r="Q13" s="6"/>
      <c r="R13" s="88">
        <f>(Q7*CAPROHP/(R7/60)+Q8*CAPROHC/(R8/60)+Q9*CAPROHBN/(R9/60))*100</f>
        <v>0.11185817142857146</v>
      </c>
      <c r="S13" s="6"/>
      <c r="T13" s="6"/>
      <c r="U13" s="88">
        <f>(T7*CAPROHP/(U7/60)+T8*CAPROHC/(U8/60)+T9*CAPROHBN/(U9/60))*100</f>
        <v>0.1648660714285714</v>
      </c>
      <c r="V13" s="6"/>
      <c r="W13" s="6"/>
      <c r="X13" s="88">
        <f>(W7*CAPROHP/(X7/60)+W8*CAPROHC/(X8/60)+W9*CAPROHBN/(X9/60))*100</f>
        <v>0.18650285714285714</v>
      </c>
      <c r="Y13" s="6"/>
      <c r="Z13" s="6"/>
      <c r="AA13" s="6"/>
      <c r="AB13" s="6"/>
      <c r="AC13" s="91"/>
      <c r="AD13" s="6"/>
      <c r="AE13" s="6"/>
      <c r="AF13" s="6"/>
      <c r="AG13" s="6"/>
      <c r="AH13" s="91"/>
      <c r="AI13" s="6"/>
      <c r="AJ13" s="6"/>
      <c r="AK13" s="6"/>
    </row>
    <row r="14" spans="2:37" ht="12.75">
      <c r="B14" s="6"/>
      <c r="C14" s="6" t="s">
        <v>105</v>
      </c>
      <c r="D14" s="6"/>
      <c r="E14" s="6"/>
      <c r="F14" s="6" t="s">
        <v>107</v>
      </c>
      <c r="G14" s="6" t="s">
        <v>106</v>
      </c>
      <c r="H14" s="6"/>
      <c r="I14" s="95">
        <f>I12*REPCAA+I13*REPPRO</f>
        <v>0.037466375999999996</v>
      </c>
      <c r="J14" s="6"/>
      <c r="K14" s="6"/>
      <c r="L14" s="95">
        <f>L12*REPCAA+L13*REPPRO</f>
        <v>0.06396310588235293</v>
      </c>
      <c r="M14" s="6"/>
      <c r="N14" s="6"/>
      <c r="O14" s="95">
        <f>O12*REPCAA+O13*REPPRO</f>
        <v>0.016996851428571425</v>
      </c>
      <c r="P14" s="6"/>
      <c r="Q14" s="6"/>
      <c r="R14" s="95">
        <f>R12*REPCAA+R13*REPPRO</f>
        <v>0.050856479999999996</v>
      </c>
      <c r="S14" s="6"/>
      <c r="T14" s="6"/>
      <c r="U14" s="95">
        <f>U12*REPCAA+U13*REPPRO</f>
        <v>0.07494642857142857</v>
      </c>
      <c r="V14" s="6"/>
      <c r="W14" s="6"/>
      <c r="X14" s="95">
        <f>X12*REPCAA+X13*REPPRO</f>
        <v>0.08479085714285714</v>
      </c>
      <c r="Y14" s="6"/>
      <c r="Z14" s="6"/>
      <c r="AA14" s="6"/>
      <c r="AB14" s="6"/>
      <c r="AC14" s="91"/>
      <c r="AD14" s="6"/>
      <c r="AE14" s="6"/>
      <c r="AF14" s="6"/>
      <c r="AG14" s="6"/>
      <c r="AH14" s="91"/>
      <c r="AI14" s="6"/>
      <c r="AJ14" s="6"/>
      <c r="AK14" s="6"/>
    </row>
    <row r="15" spans="2:37" ht="12.75">
      <c r="B15" s="6"/>
      <c r="C15" s="6" t="s">
        <v>49</v>
      </c>
      <c r="D15" s="6"/>
      <c r="E15" s="6"/>
      <c r="F15" s="6" t="s">
        <v>44</v>
      </c>
      <c r="G15" s="6" t="s">
        <v>106</v>
      </c>
      <c r="H15" s="6"/>
      <c r="I15" s="88">
        <f>(PVCAAHP*H7+PVCAAHC*H8+PVCAAHBN*H9)*100</f>
        <v>0.4107655</v>
      </c>
      <c r="J15" s="6"/>
      <c r="K15" s="6"/>
      <c r="L15" s="88">
        <f>(PVCAAHP*K7+PVCAAHC*K8+PVCAAHBN*K9)*100</f>
        <v>0.455844</v>
      </c>
      <c r="M15" s="6"/>
      <c r="N15" s="6"/>
      <c r="O15" s="88">
        <f>(PVCAAHP*N7+PVCAAHC*N8+PVCAAHBN*N9)*100</f>
        <v>0.36905499999999997</v>
      </c>
      <c r="P15" s="6"/>
      <c r="Q15" s="6"/>
      <c r="R15" s="88">
        <f>(PVCAAHP*Q7+PVCAAHC*Q8+PVCAAHBN*Q9)*100</f>
        <v>0.453366</v>
      </c>
      <c r="S15" s="6"/>
      <c r="T15" s="6"/>
      <c r="U15" s="88">
        <f>(PVCAAHP*T7+PVCAAHC*T8+PVCAAHBN*T9)*100</f>
        <v>0.42684999999999995</v>
      </c>
      <c r="V15" s="6"/>
      <c r="W15" s="6"/>
      <c r="X15" s="88">
        <f>(PVCAAHP*W7+PVCAAHC*W8+PVCAAHBN*W9)*100</f>
        <v>0.4525</v>
      </c>
      <c r="Y15" s="6"/>
      <c r="Z15" s="6"/>
      <c r="AA15" s="6"/>
      <c r="AB15" s="6"/>
      <c r="AC15" s="91"/>
      <c r="AD15" s="6"/>
      <c r="AE15" s="6"/>
      <c r="AF15" s="6"/>
      <c r="AG15" s="6"/>
      <c r="AH15" s="91"/>
      <c r="AI15" s="6"/>
      <c r="AJ15" s="6"/>
      <c r="AK15" s="6"/>
    </row>
    <row r="16" spans="2:37" ht="12.75">
      <c r="B16" s="6"/>
      <c r="C16" s="6" t="s">
        <v>49</v>
      </c>
      <c r="D16" s="6"/>
      <c r="E16" s="6"/>
      <c r="F16" s="6" t="s">
        <v>51</v>
      </c>
      <c r="G16" s="6" t="s">
        <v>106</v>
      </c>
      <c r="H16" s="6"/>
      <c r="I16" s="88">
        <f>(PVPROHP*H7+PVPROHC*H8+PVPROHBN*H9)*100</f>
        <v>0.730955</v>
      </c>
      <c r="J16" s="6"/>
      <c r="K16" s="6"/>
      <c r="L16" s="88">
        <f>(PVPROHP*K7+PVPROHC*K8+PVPROHBN*K9)*100</f>
        <v>0.811376</v>
      </c>
      <c r="M16" s="6"/>
      <c r="N16" s="6"/>
      <c r="O16" s="88">
        <f>(PVPROHP*N7+PVPROHC*N8+PVPROHBN*N9)*100</f>
        <v>0.6565499999999999</v>
      </c>
      <c r="P16" s="6"/>
      <c r="Q16" s="6"/>
      <c r="R16" s="88">
        <f>(PVPROHP*Q7+PVPROHC*Q8+PVPROHBN*Q9)*100</f>
        <v>0.8069639999999999</v>
      </c>
      <c r="S16" s="6"/>
      <c r="T16" s="6"/>
      <c r="U16" s="88">
        <f>(PVPROHP*T7+PVPROHC*T8+PVPROHBN*T9)*100</f>
        <v>0.7596749999999999</v>
      </c>
      <c r="V16" s="6"/>
      <c r="W16" s="6"/>
      <c r="X16" s="88">
        <f>(PVPROHP*W7+PVPROHC*W8+PVPROHBN*W9)*100</f>
        <v>0.80541</v>
      </c>
      <c r="Y16" s="6"/>
      <c r="Z16" s="6"/>
      <c r="AA16" s="6"/>
      <c r="AB16" s="6"/>
      <c r="AC16" s="91"/>
      <c r="AD16" s="6"/>
      <c r="AE16" s="6"/>
      <c r="AF16" s="6"/>
      <c r="AG16" s="6"/>
      <c r="AH16" s="91"/>
      <c r="AI16" s="6"/>
      <c r="AJ16" s="6"/>
      <c r="AK16" s="6"/>
    </row>
    <row r="17" spans="2:37" ht="12.75">
      <c r="B17" s="6"/>
      <c r="C17" s="6" t="s">
        <v>49</v>
      </c>
      <c r="D17" s="6"/>
      <c r="E17" s="6"/>
      <c r="F17" s="6" t="s">
        <v>107</v>
      </c>
      <c r="G17" s="6" t="s">
        <v>106</v>
      </c>
      <c r="H17" s="6"/>
      <c r="I17" s="95">
        <f>I15*REPCAA+I16*REPPRO</f>
        <v>0.4748034</v>
      </c>
      <c r="J17" s="6"/>
      <c r="K17" s="6"/>
      <c r="L17" s="95">
        <f>L15*REPCAA+L16*REPPRO</f>
        <v>0.5269504</v>
      </c>
      <c r="M17" s="6"/>
      <c r="N17" s="6"/>
      <c r="O17" s="95">
        <f>O15*REPCAA+O16*REPPRO</f>
        <v>0.426554</v>
      </c>
      <c r="P17" s="6"/>
      <c r="Q17" s="6"/>
      <c r="R17" s="95">
        <f>R15*REPCAA+R16*REPPRO</f>
        <v>0.5240856</v>
      </c>
      <c r="S17" s="6"/>
      <c r="T17" s="6"/>
      <c r="U17" s="95">
        <f>U15*REPCAA+U16*REPPRO</f>
        <v>0.49341499999999994</v>
      </c>
      <c r="V17" s="6"/>
      <c r="W17" s="6"/>
      <c r="X17" s="95">
        <f>X15*REPCAA+X16*REPPRO</f>
        <v>0.523082</v>
      </c>
      <c r="Y17" s="6"/>
      <c r="Z17" s="6"/>
      <c r="AA17" s="6"/>
      <c r="AB17" s="6"/>
      <c r="AC17" s="91"/>
      <c r="AD17" s="6"/>
      <c r="AE17" s="6"/>
      <c r="AF17" s="6"/>
      <c r="AG17" s="6"/>
      <c r="AH17" s="6">
        <v>3</v>
      </c>
      <c r="AI17" s="6"/>
      <c r="AK17" s="6"/>
    </row>
    <row r="18" spans="2:37" ht="12.75">
      <c r="B18" s="6"/>
      <c r="C18" s="6"/>
      <c r="D18" s="6"/>
      <c r="E18" s="6"/>
      <c r="F18" s="6"/>
      <c r="G18" s="6"/>
      <c r="H18" s="6"/>
      <c r="I18" s="91"/>
      <c r="J18" s="6"/>
      <c r="K18" s="6"/>
      <c r="L18" s="6"/>
      <c r="M18" s="6"/>
      <c r="N18" s="6"/>
      <c r="O18" s="91"/>
      <c r="P18" s="6"/>
      <c r="Q18" s="6"/>
      <c r="R18" s="6"/>
      <c r="S18" s="6"/>
      <c r="T18" s="6"/>
      <c r="U18" s="91"/>
      <c r="V18" s="6"/>
      <c r="W18" s="6"/>
      <c r="X18" s="6"/>
      <c r="Y18" s="6"/>
      <c r="Z18" s="6"/>
      <c r="AA18" s="6"/>
      <c r="AB18" s="6"/>
      <c r="AC18" s="91"/>
      <c r="AD18" s="6"/>
      <c r="AE18" s="6"/>
      <c r="AF18" s="6"/>
      <c r="AG18" s="6"/>
      <c r="AH18" s="91"/>
      <c r="AI18" s="6"/>
      <c r="AJ18" s="6"/>
      <c r="AK18" s="6"/>
    </row>
    <row r="19" spans="2:37" ht="12.75">
      <c r="B19" s="21" t="s">
        <v>83</v>
      </c>
      <c r="C19" s="6"/>
      <c r="D19" s="6"/>
      <c r="E19" s="6"/>
      <c r="F19" s="6"/>
      <c r="G19" s="6"/>
      <c r="H19" s="6"/>
      <c r="I19" s="91"/>
      <c r="J19" s="6"/>
      <c r="K19" s="6"/>
      <c r="L19" s="6"/>
      <c r="M19" s="6"/>
      <c r="N19" s="6"/>
      <c r="O19" s="91"/>
      <c r="P19" s="6"/>
      <c r="Q19" s="6"/>
      <c r="R19" s="6"/>
      <c r="S19" s="6"/>
      <c r="T19" s="6"/>
      <c r="U19" s="91"/>
      <c r="V19" s="6"/>
      <c r="W19" s="6"/>
      <c r="X19" s="6"/>
      <c r="Y19" s="6"/>
      <c r="Z19" s="6"/>
      <c r="AA19" s="6"/>
      <c r="AB19" s="6"/>
      <c r="AC19" s="91"/>
      <c r="AD19" s="6"/>
      <c r="AE19" s="6"/>
      <c r="AF19" s="6"/>
      <c r="AG19" s="6"/>
      <c r="AH19" s="91"/>
      <c r="AI19" s="6"/>
      <c r="AJ19" s="6"/>
      <c r="AK19" s="6"/>
    </row>
    <row r="20" spans="2:31" ht="12.75">
      <c r="B20" s="6"/>
      <c r="C20" s="6" t="s">
        <v>119</v>
      </c>
      <c r="D20" s="6"/>
      <c r="E20" s="6"/>
      <c r="F20" s="6" t="s">
        <v>44</v>
      </c>
      <c r="G20" s="187">
        <f>(BPNCAA/('Hypothèses coûts'!D54*1000000))*100</f>
        <v>0.09791515151515151</v>
      </c>
      <c r="H20" s="6" t="s">
        <v>106</v>
      </c>
      <c r="I20" s="91"/>
      <c r="J20" s="6"/>
      <c r="K20" s="6"/>
      <c r="L20" s="6"/>
      <c r="M20" s="6"/>
      <c r="N20" s="6"/>
      <c r="O20" s="91"/>
      <c r="P20" s="6"/>
      <c r="Q20" s="6"/>
      <c r="R20" s="6"/>
      <c r="S20" s="6"/>
      <c r="T20" s="6"/>
      <c r="U20" s="91"/>
      <c r="V20" s="6"/>
      <c r="W20" s="6"/>
      <c r="X20" s="6"/>
      <c r="Y20" s="6"/>
      <c r="Z20" s="6"/>
      <c r="AD20" s="44"/>
      <c r="AE20" s="6"/>
    </row>
    <row r="21" spans="2:31" ht="12.75">
      <c r="B21" s="6"/>
      <c r="C21" s="6" t="s">
        <v>119</v>
      </c>
      <c r="D21" s="6"/>
      <c r="E21" s="6"/>
      <c r="F21" s="6" t="s">
        <v>51</v>
      </c>
      <c r="G21" s="187">
        <f>(BPNPRO/('Hypothèses coûts'!D54*1000000))*100</f>
        <v>0.11831515151515151</v>
      </c>
      <c r="H21" s="6" t="s">
        <v>106</v>
      </c>
      <c r="I21" s="91"/>
      <c r="J21" s="6"/>
      <c r="K21" s="6"/>
      <c r="L21" s="6"/>
      <c r="M21" s="6"/>
      <c r="N21" s="6"/>
      <c r="O21" s="91"/>
      <c r="P21" s="6"/>
      <c r="Q21" s="6"/>
      <c r="R21" s="6"/>
      <c r="S21" s="6"/>
      <c r="T21" s="6"/>
      <c r="U21" s="91"/>
      <c r="V21" s="6"/>
      <c r="W21" s="6"/>
      <c r="X21" s="6"/>
      <c r="Y21" s="6"/>
      <c r="Z21" s="6"/>
      <c r="AD21" s="44"/>
      <c r="AE21" s="6"/>
    </row>
    <row r="22" spans="2:31" ht="12.75">
      <c r="B22" s="6"/>
      <c r="C22" s="6" t="s">
        <v>119</v>
      </c>
      <c r="D22" s="6"/>
      <c r="E22" s="6"/>
      <c r="F22" s="6" t="s">
        <v>107</v>
      </c>
      <c r="G22" s="94">
        <f>REPCAA*G20+REPPRO*G21</f>
        <v>0.10199515151515151</v>
      </c>
      <c r="H22" s="6" t="s">
        <v>106</v>
      </c>
      <c r="I22" s="91"/>
      <c r="J22" s="6"/>
      <c r="K22" s="6"/>
      <c r="L22" s="6"/>
      <c r="M22" s="6"/>
      <c r="N22" s="6"/>
      <c r="O22" s="91"/>
      <c r="P22" s="6"/>
      <c r="Q22" s="6"/>
      <c r="R22" s="6"/>
      <c r="S22" s="6"/>
      <c r="T22" s="6"/>
      <c r="U22" s="91"/>
      <c r="V22" s="6"/>
      <c r="W22" s="6"/>
      <c r="X22" s="6"/>
      <c r="Y22" s="6"/>
      <c r="Z22" s="6"/>
      <c r="AD22" s="6"/>
      <c r="AE22" s="6"/>
    </row>
    <row r="23" spans="2:31" ht="12.75">
      <c r="B23" s="6"/>
      <c r="C23" s="6"/>
      <c r="D23" s="6"/>
      <c r="E23" s="6"/>
      <c r="F23" s="6"/>
      <c r="G23" s="93"/>
      <c r="H23" s="6"/>
      <c r="I23" s="91"/>
      <c r="J23" s="6"/>
      <c r="K23" s="6"/>
      <c r="L23" s="6"/>
      <c r="M23" s="6"/>
      <c r="N23" s="6"/>
      <c r="O23" s="91"/>
      <c r="P23" s="6"/>
      <c r="Q23" s="6"/>
      <c r="R23" s="6"/>
      <c r="S23" s="6"/>
      <c r="T23" s="6"/>
      <c r="U23" s="91"/>
      <c r="V23" s="6"/>
      <c r="W23" s="6"/>
      <c r="X23" s="6"/>
      <c r="Y23" s="6"/>
      <c r="Z23" s="6"/>
      <c r="AD23" s="6"/>
      <c r="AE23" s="6"/>
    </row>
    <row r="24" spans="2:31" ht="12.75">
      <c r="B24" s="21" t="s">
        <v>54</v>
      </c>
      <c r="C24" s="6"/>
      <c r="D24" s="6"/>
      <c r="E24" s="6"/>
      <c r="F24" s="6"/>
      <c r="G24" s="93"/>
      <c r="H24" s="6"/>
      <c r="I24" s="91"/>
      <c r="J24" s="6"/>
      <c r="K24" s="6"/>
      <c r="L24" s="6"/>
      <c r="M24" s="6"/>
      <c r="N24" s="6"/>
      <c r="O24" s="91"/>
      <c r="P24" s="6"/>
      <c r="Q24" s="6"/>
      <c r="R24" s="6"/>
      <c r="S24" s="6"/>
      <c r="T24" s="6"/>
      <c r="U24" s="91"/>
      <c r="V24" s="6"/>
      <c r="W24" s="6"/>
      <c r="X24" s="6"/>
      <c r="Y24" s="6"/>
      <c r="Z24" s="6"/>
      <c r="AD24" s="6"/>
      <c r="AE24" s="6"/>
    </row>
    <row r="25" spans="2:31" ht="12.75">
      <c r="B25" s="6"/>
      <c r="C25" s="6" t="s">
        <v>120</v>
      </c>
      <c r="D25" s="6" t="s">
        <v>55</v>
      </c>
      <c r="E25" s="6"/>
      <c r="F25" s="6"/>
      <c r="G25" s="97">
        <f>(FASLRO*(1-'Hypothèses coûts'!D58)+'Hypothèses coûts'!D58*FASLRO12)/('Hypothèses coûts'!D57)</f>
        <v>454.2</v>
      </c>
      <c r="H25" s="6" t="s">
        <v>53</v>
      </c>
      <c r="I25" s="91"/>
      <c r="J25" s="6"/>
      <c r="K25" s="6"/>
      <c r="L25" s="6"/>
      <c r="M25" s="6"/>
      <c r="N25" s="6"/>
      <c r="O25" s="91"/>
      <c r="P25" s="6"/>
      <c r="Q25" s="6"/>
      <c r="R25" s="6"/>
      <c r="S25" s="6"/>
      <c r="T25" s="6"/>
      <c r="U25" s="91"/>
      <c r="V25" s="6"/>
      <c r="W25" s="6"/>
      <c r="X25" s="6"/>
      <c r="Y25" s="6"/>
      <c r="Z25" s="6"/>
      <c r="AD25" s="44"/>
      <c r="AE25" s="6"/>
    </row>
    <row r="26" spans="2:39" ht="12.75">
      <c r="B26" s="6"/>
      <c r="C26" s="6" t="s">
        <v>120</v>
      </c>
      <c r="D26" s="6" t="s">
        <v>59</v>
      </c>
      <c r="E26" s="6"/>
      <c r="F26" s="6" t="s">
        <v>44</v>
      </c>
      <c r="G26" s="97">
        <f>(LROCAAFIX-'Hypothèses coûts'!D58*REDLRO12)+(LONGLROCAA*LROCAAKM)</f>
        <v>3169.1</v>
      </c>
      <c r="H26" s="6" t="s">
        <v>53</v>
      </c>
      <c r="I26" s="91"/>
      <c r="J26" s="6"/>
      <c r="K26" s="6"/>
      <c r="L26" s="6"/>
      <c r="M26" s="6"/>
      <c r="N26" s="6"/>
      <c r="O26" s="91"/>
      <c r="P26" s="6"/>
      <c r="Q26" s="6"/>
      <c r="R26" s="6"/>
      <c r="S26" s="6"/>
      <c r="T26" s="6"/>
      <c r="U26" s="91"/>
      <c r="V26" s="6"/>
      <c r="W26" s="6"/>
      <c r="X26" s="6"/>
      <c r="Y26" s="6"/>
      <c r="Z26" s="6"/>
      <c r="AD26" s="6"/>
      <c r="AE26" s="6"/>
      <c r="AM26" s="135"/>
    </row>
    <row r="27" spans="2:39" ht="12.75">
      <c r="B27" s="6"/>
      <c r="C27" s="6" t="s">
        <v>120</v>
      </c>
      <c r="D27" s="6" t="s">
        <v>59</v>
      </c>
      <c r="E27" s="6"/>
      <c r="F27" s="6" t="s">
        <v>51</v>
      </c>
      <c r="G27" s="97">
        <f>(LROPROFIX-'Hypothèses coûts'!D58*REDLRO12)+LROPROVAR*LONGLROPRO</f>
        <v>2263.4</v>
      </c>
      <c r="H27" s="6" t="s">
        <v>53</v>
      </c>
      <c r="I27" s="91"/>
      <c r="J27" s="6"/>
      <c r="K27" s="6"/>
      <c r="L27" s="6"/>
      <c r="M27" s="6"/>
      <c r="N27" s="6"/>
      <c r="O27" s="91"/>
      <c r="P27" s="6"/>
      <c r="Q27" s="6"/>
      <c r="R27" s="6"/>
      <c r="S27" s="6"/>
      <c r="T27" s="6"/>
      <c r="U27" s="91"/>
      <c r="V27" s="6"/>
      <c r="W27" s="6"/>
      <c r="X27" s="6"/>
      <c r="Y27" s="6"/>
      <c r="Z27" s="6"/>
      <c r="AD27" s="6"/>
      <c r="AE27" s="6"/>
      <c r="AM27" s="135"/>
    </row>
    <row r="28" spans="2:39" ht="12.75">
      <c r="B28" s="6"/>
      <c r="C28" s="6" t="s">
        <v>156</v>
      </c>
      <c r="D28" s="6" t="s">
        <v>121</v>
      </c>
      <c r="E28" s="6"/>
      <c r="F28" s="6" t="s">
        <v>107</v>
      </c>
      <c r="G28" s="94">
        <f>(G25+REPCAA*G26+REPPRO*G27)/('Hypothèses coûts'!D54*1000000)*100</f>
        <v>0.10430787878787878</v>
      </c>
      <c r="H28" s="6" t="s">
        <v>106</v>
      </c>
      <c r="I28" s="91"/>
      <c r="J28" s="6"/>
      <c r="K28" s="6"/>
      <c r="L28" s="6"/>
      <c r="M28" s="6"/>
      <c r="N28" s="6"/>
      <c r="O28" s="91"/>
      <c r="P28" s="6"/>
      <c r="Q28" s="6"/>
      <c r="R28" s="6"/>
      <c r="S28" s="6"/>
      <c r="T28" s="6"/>
      <c r="U28" s="91"/>
      <c r="V28" s="6"/>
      <c r="W28" s="6"/>
      <c r="X28" s="6"/>
      <c r="Y28" s="6"/>
      <c r="Z28" s="6"/>
      <c r="AD28" s="21"/>
      <c r="AE28" s="6"/>
      <c r="AM28" s="135"/>
    </row>
    <row r="29" spans="2:39" ht="12.75">
      <c r="B29" s="6"/>
      <c r="C29" s="6"/>
      <c r="D29" s="6"/>
      <c r="E29" s="6"/>
      <c r="F29" s="6"/>
      <c r="G29" s="94"/>
      <c r="H29" s="6"/>
      <c r="I29" s="91"/>
      <c r="J29" s="6"/>
      <c r="K29" s="6"/>
      <c r="L29" s="6"/>
      <c r="M29" s="6"/>
      <c r="N29" s="6"/>
      <c r="O29" s="91"/>
      <c r="P29" s="6"/>
      <c r="Q29" s="6"/>
      <c r="R29" s="6"/>
      <c r="S29" s="6"/>
      <c r="T29" s="6"/>
      <c r="U29" s="91"/>
      <c r="V29" s="6"/>
      <c r="W29" s="6"/>
      <c r="X29" s="6"/>
      <c r="Y29" s="6"/>
      <c r="Z29" s="6"/>
      <c r="AD29" s="21"/>
      <c r="AE29" s="6"/>
      <c r="AM29" s="135"/>
    </row>
    <row r="30" spans="2:39" ht="12.75">
      <c r="B30" s="21" t="s">
        <v>236</v>
      </c>
      <c r="C30" s="6"/>
      <c r="D30" s="6"/>
      <c r="E30" s="6"/>
      <c r="F30" s="6"/>
      <c r="G30" s="94"/>
      <c r="H30" s="6"/>
      <c r="I30" s="91"/>
      <c r="J30" s="6"/>
      <c r="K30" s="6"/>
      <c r="L30" s="6"/>
      <c r="M30" s="6"/>
      <c r="N30" s="6"/>
      <c r="O30" s="91"/>
      <c r="P30" s="6"/>
      <c r="Q30" s="6"/>
      <c r="R30" s="6"/>
      <c r="S30" s="6"/>
      <c r="T30" s="6"/>
      <c r="U30" s="91"/>
      <c r="V30" s="6"/>
      <c r="W30" s="6"/>
      <c r="X30" s="6"/>
      <c r="Y30" s="6"/>
      <c r="Z30" s="6"/>
      <c r="AD30" s="21"/>
      <c r="AE30" s="6"/>
      <c r="AM30" s="135"/>
    </row>
    <row r="31" spans="2:31" ht="12.75">
      <c r="B31" s="6"/>
      <c r="C31" s="6" t="s">
        <v>237</v>
      </c>
      <c r="D31" s="6"/>
      <c r="E31" s="6"/>
      <c r="F31" s="6"/>
      <c r="G31" s="173">
        <f>'Hypothèses coûts'!D59</f>
        <v>0.7</v>
      </c>
      <c r="H31" s="6"/>
      <c r="I31" s="91"/>
      <c r="J31" s="6"/>
      <c r="K31" s="6"/>
      <c r="L31" s="6"/>
      <c r="M31" s="6"/>
      <c r="N31" s="6"/>
      <c r="O31" s="91"/>
      <c r="P31" s="6"/>
      <c r="Q31" s="6"/>
      <c r="R31" s="6"/>
      <c r="S31" s="6"/>
      <c r="T31" s="6"/>
      <c r="U31" s="91"/>
      <c r="V31" s="6"/>
      <c r="W31" s="6"/>
      <c r="X31" s="6"/>
      <c r="Y31" s="6"/>
      <c r="Z31" s="6"/>
      <c r="AD31" s="44"/>
      <c r="AE31" s="6"/>
    </row>
    <row r="32" spans="2:37" ht="12.75">
      <c r="B32" s="6"/>
      <c r="C32" s="6" t="s">
        <v>238</v>
      </c>
      <c r="D32" s="6"/>
      <c r="E32" s="6"/>
      <c r="F32" s="6"/>
      <c r="G32" s="94">
        <f>G28*G31</f>
        <v>0.07301551515151514</v>
      </c>
      <c r="H32" s="6" t="s">
        <v>106</v>
      </c>
      <c r="I32" s="91"/>
      <c r="J32" s="6"/>
      <c r="K32" s="6"/>
      <c r="L32" s="6"/>
      <c r="M32" s="6"/>
      <c r="N32" s="6"/>
      <c r="O32" s="91"/>
      <c r="P32" s="6"/>
      <c r="Q32" s="6"/>
      <c r="R32" s="6"/>
      <c r="S32" s="6"/>
      <c r="T32" s="6"/>
      <c r="U32" s="91"/>
      <c r="V32" s="6"/>
      <c r="W32" s="6"/>
      <c r="X32" s="6"/>
      <c r="Y32" s="6"/>
      <c r="Z32" s="6"/>
      <c r="AA32" s="6"/>
      <c r="AB32" s="6"/>
      <c r="AC32" s="91"/>
      <c r="AD32" s="6"/>
      <c r="AE32" s="6"/>
      <c r="AF32" s="6"/>
      <c r="AG32" s="6"/>
      <c r="AH32" s="91"/>
      <c r="AI32" s="6"/>
      <c r="AJ32" s="6"/>
      <c r="AK32" s="6"/>
    </row>
    <row r="33" spans="2:37" ht="12.75">
      <c r="B33" s="6"/>
      <c r="C33" s="6"/>
      <c r="D33" s="6"/>
      <c r="E33" s="6"/>
      <c r="F33" s="6"/>
      <c r="G33" s="6"/>
      <c r="H33" s="6"/>
      <c r="I33" s="91"/>
      <c r="J33" s="6"/>
      <c r="K33" s="6"/>
      <c r="L33" s="6"/>
      <c r="M33" s="6"/>
      <c r="N33" s="6"/>
      <c r="O33" s="91"/>
      <c r="P33" s="6"/>
      <c r="Q33" s="6"/>
      <c r="R33" s="6"/>
      <c r="S33" s="6"/>
      <c r="T33" s="6"/>
      <c r="U33" s="91"/>
      <c r="V33" s="6"/>
      <c r="W33" s="6"/>
      <c r="X33" s="6"/>
      <c r="Y33" s="6"/>
      <c r="Z33" s="6"/>
      <c r="AA33" s="6"/>
      <c r="AB33" s="6"/>
      <c r="AC33" s="91"/>
      <c r="AD33" s="6"/>
      <c r="AE33" s="6"/>
      <c r="AF33" s="6"/>
      <c r="AG33" s="6"/>
      <c r="AH33" s="91"/>
      <c r="AI33" s="6"/>
      <c r="AJ33" s="6"/>
      <c r="AK33" s="6"/>
    </row>
    <row r="34" spans="2:37" ht="12.75">
      <c r="B34" s="21" t="s">
        <v>153</v>
      </c>
      <c r="C34" s="6"/>
      <c r="D34" s="6"/>
      <c r="E34" s="6"/>
      <c r="F34" s="6"/>
      <c r="G34" s="6"/>
      <c r="H34" s="6"/>
      <c r="I34" s="91"/>
      <c r="J34" s="6"/>
      <c r="K34" s="6"/>
      <c r="L34" s="6"/>
      <c r="M34" s="6"/>
      <c r="N34" s="6"/>
      <c r="O34" s="91"/>
      <c r="P34" s="6"/>
      <c r="Q34" s="6"/>
      <c r="R34" s="6"/>
      <c r="S34" s="6"/>
      <c r="T34" s="6"/>
      <c r="U34" s="91"/>
      <c r="V34" s="6"/>
      <c r="W34" s="6"/>
      <c r="X34" s="6"/>
      <c r="Y34" s="6"/>
      <c r="Z34" s="6"/>
      <c r="AA34" s="6"/>
      <c r="AB34" s="6"/>
      <c r="AC34" s="91"/>
      <c r="AD34" s="6"/>
      <c r="AE34" s="6"/>
      <c r="AF34" s="6"/>
      <c r="AG34" s="6"/>
      <c r="AH34" s="91"/>
      <c r="AI34" s="6"/>
      <c r="AJ34" s="6"/>
      <c r="AK34" s="6"/>
    </row>
    <row r="35" spans="2:37" ht="12.75">
      <c r="B35" s="6"/>
      <c r="C35" s="6" t="s">
        <v>235</v>
      </c>
      <c r="D35" s="6"/>
      <c r="E35" s="6"/>
      <c r="F35" s="6"/>
      <c r="G35" s="97">
        <f>'Hypothèses coûts'!D60</f>
        <v>325</v>
      </c>
      <c r="H35" s="6" t="s">
        <v>234</v>
      </c>
      <c r="I35" s="91"/>
      <c r="J35" s="6"/>
      <c r="K35" s="6"/>
      <c r="L35" s="6"/>
      <c r="M35" s="6"/>
      <c r="N35" s="6"/>
      <c r="O35" s="91"/>
      <c r="P35" s="6"/>
      <c r="Q35" s="6"/>
      <c r="R35" s="6"/>
      <c r="S35" s="6"/>
      <c r="T35" s="6"/>
      <c r="U35" s="91"/>
      <c r="V35" s="6"/>
      <c r="W35" s="6"/>
      <c r="X35" s="6"/>
      <c r="Y35" s="6"/>
      <c r="Z35" s="6"/>
      <c r="AA35" s="6"/>
      <c r="AB35" s="6"/>
      <c r="AC35" s="91"/>
      <c r="AD35" s="6"/>
      <c r="AE35" s="6"/>
      <c r="AF35" s="6"/>
      <c r="AG35" s="6"/>
      <c r="AH35" s="91"/>
      <c r="AI35" s="6"/>
      <c r="AJ35" s="6"/>
      <c r="AK35" s="6"/>
    </row>
    <row r="36" spans="2:37" ht="12.75">
      <c r="B36" s="6"/>
      <c r="C36" s="6" t="s">
        <v>196</v>
      </c>
      <c r="D36" s="6"/>
      <c r="E36" s="6"/>
      <c r="F36" s="6"/>
      <c r="G36" s="88">
        <f>G35*12*100/'Hypothèses coûts'!D54/1000000/12</f>
        <v>0.00984848484848485</v>
      </c>
      <c r="H36" s="6" t="s">
        <v>125</v>
      </c>
      <c r="I36" s="91"/>
      <c r="J36" s="6"/>
      <c r="K36" s="6"/>
      <c r="L36" s="6"/>
      <c r="M36" s="6"/>
      <c r="N36" s="6"/>
      <c r="O36" s="91"/>
      <c r="P36" s="6"/>
      <c r="Q36" s="6"/>
      <c r="R36" s="6"/>
      <c r="S36" s="6"/>
      <c r="T36" s="6"/>
      <c r="U36" s="91"/>
      <c r="V36" s="6"/>
      <c r="W36" s="6"/>
      <c r="X36" s="6"/>
      <c r="Y36" s="6"/>
      <c r="Z36" s="6"/>
      <c r="AA36" s="6"/>
      <c r="AB36" s="6"/>
      <c r="AC36" s="91"/>
      <c r="AD36" s="6"/>
      <c r="AE36" s="6"/>
      <c r="AF36" s="6"/>
      <c r="AG36" s="6"/>
      <c r="AH36" s="91"/>
      <c r="AI36" s="6"/>
      <c r="AJ36" s="6"/>
      <c r="AK36" s="6"/>
    </row>
    <row r="37" spans="2:37" ht="12.75">
      <c r="B37" s="6"/>
      <c r="C37" s="6" t="s">
        <v>231</v>
      </c>
      <c r="D37" s="6"/>
      <c r="E37" s="6"/>
      <c r="F37" s="6"/>
      <c r="G37" s="95">
        <f>G36</f>
        <v>0.00984848484848485</v>
      </c>
      <c r="H37" s="6" t="s">
        <v>125</v>
      </c>
      <c r="I37" s="91"/>
      <c r="J37" s="6"/>
      <c r="K37" s="6"/>
      <c r="L37" s="6"/>
      <c r="M37" s="6"/>
      <c r="N37" s="6"/>
      <c r="O37" s="91"/>
      <c r="P37" s="6"/>
      <c r="Q37" s="6"/>
      <c r="R37" s="6"/>
      <c r="S37" s="6"/>
      <c r="T37" s="6"/>
      <c r="U37" s="91"/>
      <c r="V37" s="6"/>
      <c r="W37" s="6"/>
      <c r="X37" s="6"/>
      <c r="Y37" s="6"/>
      <c r="Z37" s="6"/>
      <c r="AA37" s="6"/>
      <c r="AB37" s="6"/>
      <c r="AC37" s="91"/>
      <c r="AD37" s="6"/>
      <c r="AE37" s="6"/>
      <c r="AF37" s="6"/>
      <c r="AG37" s="6"/>
      <c r="AH37" s="91"/>
      <c r="AI37" s="6"/>
      <c r="AJ37" s="6"/>
      <c r="AK37" s="6"/>
    </row>
    <row r="38" spans="2:37" ht="12.75">
      <c r="B38" s="6"/>
      <c r="C38" s="6"/>
      <c r="D38" s="6"/>
      <c r="E38" s="6"/>
      <c r="F38" s="6"/>
      <c r="G38" s="6"/>
      <c r="H38" s="6"/>
      <c r="I38" s="91"/>
      <c r="J38" s="6"/>
      <c r="K38" s="6"/>
      <c r="L38" s="6"/>
      <c r="M38" s="6"/>
      <c r="N38" s="6"/>
      <c r="O38" s="91"/>
      <c r="P38" s="6"/>
      <c r="Q38" s="6"/>
      <c r="R38" s="6"/>
      <c r="S38" s="6"/>
      <c r="T38" s="6"/>
      <c r="U38" s="91"/>
      <c r="V38" s="6"/>
      <c r="W38" s="6"/>
      <c r="X38" s="6"/>
      <c r="Y38" s="6"/>
      <c r="Z38" s="6"/>
      <c r="AA38" s="6"/>
      <c r="AB38" s="6"/>
      <c r="AC38" s="91"/>
      <c r="AD38" s="6"/>
      <c r="AE38" s="6"/>
      <c r="AF38" s="6"/>
      <c r="AG38" s="6"/>
      <c r="AH38" s="91"/>
      <c r="AI38" s="6"/>
      <c r="AJ38" s="6"/>
      <c r="AK38" s="6"/>
    </row>
    <row r="39" spans="2:37" ht="12.75">
      <c r="B39" s="21" t="s">
        <v>136</v>
      </c>
      <c r="C39" s="6"/>
      <c r="D39" s="6"/>
      <c r="E39" s="6"/>
      <c r="F39" s="6"/>
      <c r="G39" s="6"/>
      <c r="H39" s="6"/>
      <c r="I39" s="91"/>
      <c r="J39" s="6"/>
      <c r="K39" s="6"/>
      <c r="L39" s="6"/>
      <c r="M39" s="6"/>
      <c r="N39" s="6"/>
      <c r="O39" s="91"/>
      <c r="P39" s="6"/>
      <c r="Q39" s="6"/>
      <c r="R39" s="6"/>
      <c r="S39" s="6"/>
      <c r="T39" s="6"/>
      <c r="U39" s="91"/>
      <c r="V39" s="6"/>
      <c r="W39" s="6"/>
      <c r="X39" s="6"/>
      <c r="Y39" s="6"/>
      <c r="Z39" s="6"/>
      <c r="AA39" s="6"/>
      <c r="AB39" s="6"/>
      <c r="AC39" s="91"/>
      <c r="AD39" s="6"/>
      <c r="AE39" s="6"/>
      <c r="AF39" s="6"/>
      <c r="AG39" s="6"/>
      <c r="AH39" s="91"/>
      <c r="AI39" s="6"/>
      <c r="AJ39" s="6"/>
      <c r="AK39" s="6"/>
    </row>
    <row r="40" spans="2:37" ht="12.75">
      <c r="B40" s="6"/>
      <c r="C40" s="6" t="s">
        <v>241</v>
      </c>
      <c r="D40" s="6"/>
      <c r="E40" s="6"/>
      <c r="F40" s="6"/>
      <c r="G40" s="95">
        <f>'Hypothèses coûts'!D49*G37+('Hypothèses coûts'!D50*G28)+'Hypothèses coûts'!D51*G32</f>
        <v>0.039809151515151506</v>
      </c>
      <c r="H40" s="6" t="s">
        <v>106</v>
      </c>
      <c r="I40" s="91"/>
      <c r="J40" s="6"/>
      <c r="K40" s="6"/>
      <c r="L40" s="6"/>
      <c r="M40" s="6"/>
      <c r="N40" s="6"/>
      <c r="O40" s="91"/>
      <c r="P40" s="6"/>
      <c r="Q40" s="6"/>
      <c r="R40" s="6"/>
      <c r="S40" s="6"/>
      <c r="T40" s="6"/>
      <c r="U40" s="91"/>
      <c r="V40" s="6"/>
      <c r="W40" s="6"/>
      <c r="X40" s="6"/>
      <c r="Y40" s="6"/>
      <c r="Z40" s="6"/>
      <c r="AA40" s="6"/>
      <c r="AB40" s="6"/>
      <c r="AC40" s="91"/>
      <c r="AD40" s="6"/>
      <c r="AE40" s="6"/>
      <c r="AF40" s="6"/>
      <c r="AG40" s="6"/>
      <c r="AH40" s="91"/>
      <c r="AI40" s="6"/>
      <c r="AJ40" s="6"/>
      <c r="AK40" s="6"/>
    </row>
    <row r="41" spans="2:37" ht="12.75">
      <c r="B41" s="6"/>
      <c r="C41" s="6"/>
      <c r="D41" s="6"/>
      <c r="E41" s="6"/>
      <c r="F41" s="6"/>
      <c r="G41" s="6"/>
      <c r="H41" s="6"/>
      <c r="I41" s="91"/>
      <c r="J41" s="6"/>
      <c r="K41" s="6"/>
      <c r="L41" s="6"/>
      <c r="M41" s="6"/>
      <c r="N41" s="6"/>
      <c r="O41" s="91"/>
      <c r="P41" s="6"/>
      <c r="Q41" s="6"/>
      <c r="R41" s="6"/>
      <c r="S41" s="6"/>
      <c r="T41" s="6"/>
      <c r="U41" s="91"/>
      <c r="V41" s="6"/>
      <c r="W41" s="6"/>
      <c r="X41" s="6"/>
      <c r="Y41" s="6"/>
      <c r="Z41" s="6"/>
      <c r="AA41" s="6"/>
      <c r="AB41" s="6"/>
      <c r="AC41" s="91"/>
      <c r="AD41" s="6"/>
      <c r="AE41" s="6"/>
      <c r="AF41" s="6"/>
      <c r="AG41" s="6"/>
      <c r="AH41" s="91"/>
      <c r="AI41" s="6"/>
      <c r="AJ41" s="6"/>
      <c r="AK41" s="6"/>
    </row>
    <row r="42" spans="2:25" ht="12.75">
      <c r="B42" s="3"/>
      <c r="C42" s="3" t="s">
        <v>281</v>
      </c>
      <c r="D42" s="3"/>
      <c r="E42" s="3"/>
      <c r="F42" s="3"/>
      <c r="G42" s="3"/>
      <c r="H42" s="3"/>
      <c r="I42" s="3"/>
      <c r="J42" s="3"/>
      <c r="K42" s="3"/>
      <c r="L42" s="3"/>
      <c r="M42" s="3"/>
      <c r="N42" s="3"/>
      <c r="O42" s="3"/>
      <c r="P42" s="3"/>
      <c r="Q42" s="3"/>
      <c r="R42" s="3"/>
      <c r="S42" s="3"/>
      <c r="T42" s="3"/>
      <c r="U42" s="3"/>
      <c r="V42" s="3"/>
      <c r="W42" s="3"/>
      <c r="X42" s="3"/>
      <c r="Y42" s="6"/>
    </row>
    <row r="43" spans="2:30" ht="12.75">
      <c r="B43" s="6"/>
      <c r="H43" s="6"/>
      <c r="I43" s="6"/>
      <c r="J43" s="6"/>
      <c r="U43" s="6"/>
      <c r="W43" s="6"/>
      <c r="X43" s="6"/>
      <c r="Y43" s="6"/>
      <c r="Z43" s="21"/>
      <c r="AA43" s="21"/>
      <c r="AB43" s="152"/>
      <c r="AC43" s="6"/>
      <c r="AD43" s="6"/>
    </row>
    <row r="44" spans="2:30" ht="12.75">
      <c r="B44" s="21" t="s">
        <v>255</v>
      </c>
      <c r="H44" s="6"/>
      <c r="I44" s="6"/>
      <c r="J44" s="6"/>
      <c r="U44" s="6"/>
      <c r="W44" s="6"/>
      <c r="X44" s="6"/>
      <c r="Y44" s="6"/>
      <c r="Z44" s="21"/>
      <c r="AA44" s="21"/>
      <c r="AB44" s="152"/>
      <c r="AC44" s="6"/>
      <c r="AD44" s="6"/>
    </row>
    <row r="45" spans="2:31" ht="12.75">
      <c r="B45" s="6"/>
      <c r="C45" s="29" t="s">
        <v>94</v>
      </c>
      <c r="E45" s="82">
        <f>'Hypothèses coûts'!D81</f>
        <v>9</v>
      </c>
      <c r="F45" s="6" t="s">
        <v>95</v>
      </c>
      <c r="G45" s="6"/>
      <c r="H45" s="6"/>
      <c r="J45" s="29"/>
      <c r="N45" s="80"/>
      <c r="O45" s="6"/>
      <c r="P45" s="2"/>
      <c r="U45" s="6"/>
      <c r="W45" s="6"/>
      <c r="X45" s="6"/>
      <c r="Y45" s="6"/>
      <c r="Z45" s="6"/>
      <c r="AA45" s="6"/>
      <c r="AB45" s="110"/>
      <c r="AC45" s="6"/>
      <c r="AD45" s="23"/>
      <c r="AE45" s="23"/>
    </row>
    <row r="46" spans="2:31" ht="12.75">
      <c r="B46" s="6"/>
      <c r="C46" s="29" t="s">
        <v>186</v>
      </c>
      <c r="E46" s="80">
        <f>'Tarifs d''interconnexion'!H30</f>
        <v>1106.5</v>
      </c>
      <c r="F46" s="6" t="s">
        <v>56</v>
      </c>
      <c r="G46" s="6"/>
      <c r="H46" s="6"/>
      <c r="J46" s="29"/>
      <c r="N46" s="82"/>
      <c r="O46" s="6"/>
      <c r="P46" s="2"/>
      <c r="U46" s="6"/>
      <c r="W46" s="6"/>
      <c r="X46" s="6"/>
      <c r="Y46" s="6"/>
      <c r="Z46" s="6"/>
      <c r="AA46" s="6"/>
      <c r="AB46" s="110"/>
      <c r="AC46" s="6"/>
      <c r="AD46" s="23"/>
      <c r="AE46" s="23"/>
    </row>
    <row r="47" spans="2:31" ht="12.75">
      <c r="B47" s="6"/>
      <c r="C47" s="29" t="s">
        <v>187</v>
      </c>
      <c r="E47" s="80">
        <f>'Tarifs d''interconnexion'!H31</f>
        <v>300.8</v>
      </c>
      <c r="F47" s="6" t="s">
        <v>62</v>
      </c>
      <c r="G47" s="6"/>
      <c r="H47" s="6"/>
      <c r="J47" s="29"/>
      <c r="N47" s="82"/>
      <c r="O47" s="6"/>
      <c r="U47" s="6"/>
      <c r="W47" s="6"/>
      <c r="X47" s="6"/>
      <c r="Y47" s="6"/>
      <c r="Z47" s="6"/>
      <c r="AA47" s="6"/>
      <c r="AB47" s="110"/>
      <c r="AC47" s="6"/>
      <c r="AD47" s="23"/>
      <c r="AE47" s="23"/>
    </row>
    <row r="48" spans="2:31" ht="12.75">
      <c r="B48" s="6"/>
      <c r="C48" s="29" t="s">
        <v>193</v>
      </c>
      <c r="E48" s="80">
        <f>'Tarifs d''interconnexion'!H32</f>
        <v>11.9</v>
      </c>
      <c r="F48" s="6" t="s">
        <v>62</v>
      </c>
      <c r="G48" s="6"/>
      <c r="H48" s="6"/>
      <c r="J48" s="29"/>
      <c r="N48" s="88"/>
      <c r="O48" s="6"/>
      <c r="P48" s="2"/>
      <c r="U48" s="6"/>
      <c r="W48" s="6"/>
      <c r="X48" s="6"/>
      <c r="Y48" s="6"/>
      <c r="Z48" s="6"/>
      <c r="AA48" s="6"/>
      <c r="AB48" s="110"/>
      <c r="AC48" s="6"/>
      <c r="AD48" s="23"/>
      <c r="AE48" s="23"/>
    </row>
    <row r="49" spans="2:31" ht="12.75">
      <c r="B49" s="6"/>
      <c r="C49" s="29" t="s">
        <v>204</v>
      </c>
      <c r="E49" s="82">
        <f>'Tarifs d''interconnexion'!H33</f>
        <v>71</v>
      </c>
      <c r="F49" s="6" t="s">
        <v>62</v>
      </c>
      <c r="G49" s="6"/>
      <c r="H49" s="6"/>
      <c r="J49" s="29"/>
      <c r="N49" s="28"/>
      <c r="O49" s="6"/>
      <c r="P49" s="2"/>
      <c r="U49" s="6"/>
      <c r="W49" s="6"/>
      <c r="X49" s="6"/>
      <c r="Y49" s="6"/>
      <c r="Z49" s="6"/>
      <c r="AA49" s="6"/>
      <c r="AB49" s="151"/>
      <c r="AC49" s="89"/>
      <c r="AD49" s="6"/>
      <c r="AE49" s="23"/>
    </row>
    <row r="50" spans="2:31" ht="12.75">
      <c r="B50" s="6"/>
      <c r="C50" s="29" t="s">
        <v>228</v>
      </c>
      <c r="E50" s="28">
        <f>'Hypothèses coûts'!D71</f>
        <v>1.5</v>
      </c>
      <c r="F50" s="6" t="s">
        <v>92</v>
      </c>
      <c r="G50" s="45"/>
      <c r="H50" s="6"/>
      <c r="J50" s="29"/>
      <c r="O50" s="28"/>
      <c r="P50" s="6"/>
      <c r="U50" s="6"/>
      <c r="W50" s="6"/>
      <c r="X50" s="6"/>
      <c r="Y50" s="6"/>
      <c r="Z50" s="6"/>
      <c r="AA50" s="23"/>
      <c r="AB50" s="6"/>
      <c r="AC50" s="6"/>
      <c r="AD50" s="110"/>
      <c r="AE50" s="23"/>
    </row>
    <row r="51" spans="2:31" ht="12.75">
      <c r="B51" s="6"/>
      <c r="C51" s="29" t="s">
        <v>185</v>
      </c>
      <c r="E51" s="80">
        <f>'Hypothèses coûts'!D70</f>
        <v>3</v>
      </c>
      <c r="F51" s="6" t="s">
        <v>97</v>
      </c>
      <c r="G51" s="6"/>
      <c r="H51" s="6"/>
      <c r="J51" s="2"/>
      <c r="K51" s="2"/>
      <c r="O51" s="101"/>
      <c r="P51" s="2"/>
      <c r="U51" s="6"/>
      <c r="W51" s="6"/>
      <c r="X51" s="6"/>
      <c r="Y51" s="6"/>
      <c r="Z51" s="6"/>
      <c r="AA51" s="6"/>
      <c r="AB51" s="110"/>
      <c r="AC51" s="6"/>
      <c r="AD51" s="110"/>
      <c r="AE51" s="23"/>
    </row>
    <row r="52" spans="2:31" ht="12.75">
      <c r="B52" s="6"/>
      <c r="C52" s="29" t="s">
        <v>227</v>
      </c>
      <c r="E52" s="80">
        <f>E46/E51+(E47+E48*E45+E49)*12</f>
        <v>6115.633333333333</v>
      </c>
      <c r="F52" s="6" t="s">
        <v>53</v>
      </c>
      <c r="G52" s="6"/>
      <c r="H52" s="6"/>
      <c r="J52" s="2"/>
      <c r="K52" s="2"/>
      <c r="O52" s="106"/>
      <c r="P52" s="2"/>
      <c r="U52" s="6"/>
      <c r="W52" s="6"/>
      <c r="X52" s="6"/>
      <c r="Y52" s="6"/>
      <c r="Z52" s="6"/>
      <c r="AA52" s="6"/>
      <c r="AB52" s="110"/>
      <c r="AC52" s="6"/>
      <c r="AD52" s="110"/>
      <c r="AE52" s="23"/>
    </row>
    <row r="53" spans="2:31" ht="12.75">
      <c r="B53" s="6"/>
      <c r="C53" s="2" t="s">
        <v>196</v>
      </c>
      <c r="E53" s="103">
        <f>E52/(E50*1000000)*100</f>
        <v>0.4077088888888889</v>
      </c>
      <c r="F53" s="2" t="s">
        <v>106</v>
      </c>
      <c r="G53" s="6"/>
      <c r="H53" s="6"/>
      <c r="J53" s="2"/>
      <c r="K53" s="2"/>
      <c r="O53" s="103"/>
      <c r="P53" s="2"/>
      <c r="U53" s="6"/>
      <c r="W53" s="6"/>
      <c r="X53" s="6"/>
      <c r="Y53" s="6"/>
      <c r="Z53" s="6"/>
      <c r="AA53" s="6"/>
      <c r="AB53" s="110"/>
      <c r="AC53" s="6"/>
      <c r="AD53" s="110"/>
      <c r="AE53" s="23"/>
    </row>
    <row r="54" spans="2:27" ht="12.75">
      <c r="B54" s="6"/>
      <c r="C54" s="90"/>
      <c r="D54" s="6"/>
      <c r="Q54" s="6"/>
      <c r="S54" s="6"/>
      <c r="T54" s="6"/>
      <c r="U54" s="6"/>
      <c r="V54" s="21"/>
      <c r="W54" s="21"/>
      <c r="X54" s="23"/>
      <c r="Y54" s="6"/>
      <c r="Z54" s="6"/>
      <c r="AA54" s="23"/>
    </row>
    <row r="55" spans="2:27" ht="12.75">
      <c r="B55" s="148" t="s">
        <v>188</v>
      </c>
      <c r="D55" s="6"/>
      <c r="E55" s="6"/>
      <c r="Q55" s="6"/>
      <c r="S55" s="6"/>
      <c r="T55" s="6"/>
      <c r="U55" s="6"/>
      <c r="V55" s="6"/>
      <c r="W55" s="6"/>
      <c r="X55" s="110"/>
      <c r="Y55" s="23"/>
      <c r="Z55" s="23"/>
      <c r="AA55" s="23"/>
    </row>
    <row r="56" spans="2:27" ht="12.75">
      <c r="B56" s="6"/>
      <c r="C56" s="29" t="s">
        <v>185</v>
      </c>
      <c r="E56" s="80">
        <f>'Hypothèses coûts'!D70</f>
        <v>3</v>
      </c>
      <c r="F56" s="6" t="s">
        <v>97</v>
      </c>
      <c r="L56" s="2"/>
      <c r="Q56" s="6"/>
      <c r="S56" s="6"/>
      <c r="T56" s="6"/>
      <c r="U56" s="6"/>
      <c r="V56" s="6"/>
      <c r="W56" s="6"/>
      <c r="X56" s="110"/>
      <c r="Y56" s="6"/>
      <c r="Z56" s="23"/>
      <c r="AA56" s="23"/>
    </row>
    <row r="57" spans="2:27" ht="12.75">
      <c r="B57" s="6"/>
      <c r="C57" s="29" t="s">
        <v>189</v>
      </c>
      <c r="E57" s="82">
        <f>'Hypothèses coûts'!D72</f>
        <v>30</v>
      </c>
      <c r="F57" s="6"/>
      <c r="L57" s="2"/>
      <c r="Q57" s="6"/>
      <c r="S57" s="6"/>
      <c r="T57" s="6"/>
      <c r="U57" s="6"/>
      <c r="V57" s="6"/>
      <c r="W57" s="6"/>
      <c r="X57" s="110"/>
      <c r="Y57" s="6"/>
      <c r="Z57" s="23"/>
      <c r="AA57" s="23"/>
    </row>
    <row r="58" spans="2:27" ht="12.75">
      <c r="B58" s="6"/>
      <c r="C58" s="29" t="s">
        <v>55</v>
      </c>
      <c r="E58" s="82">
        <f>'Hypothèses coûts'!D73</f>
        <v>640.29</v>
      </c>
      <c r="F58" s="6" t="s">
        <v>56</v>
      </c>
      <c r="Q58" s="6"/>
      <c r="S58" s="6"/>
      <c r="T58" s="6"/>
      <c r="U58" s="6"/>
      <c r="V58" s="6"/>
      <c r="W58" s="6"/>
      <c r="X58" s="110"/>
      <c r="Y58" s="6"/>
      <c r="Z58" s="23"/>
      <c r="AA58" s="23"/>
    </row>
    <row r="59" spans="2:27" ht="12.75">
      <c r="B59" s="6"/>
      <c r="C59" s="29" t="s">
        <v>190</v>
      </c>
      <c r="E59" s="88">
        <f>'Hypothèses coûts'!D74</f>
        <v>16.8</v>
      </c>
      <c r="F59" s="6" t="s">
        <v>62</v>
      </c>
      <c r="L59" s="2"/>
      <c r="Q59" s="6"/>
      <c r="S59" s="6"/>
      <c r="T59" s="6"/>
      <c r="U59" s="6"/>
      <c r="V59" s="6"/>
      <c r="W59" s="6"/>
      <c r="X59" s="110"/>
      <c r="Y59" s="6"/>
      <c r="Z59" s="23"/>
      <c r="AA59" s="23"/>
    </row>
    <row r="60" spans="2:27" ht="12.75">
      <c r="B60" s="6"/>
      <c r="C60" s="29" t="s">
        <v>191</v>
      </c>
      <c r="E60" s="80">
        <f>'Hypothèses coûts'!D75</f>
        <v>6048</v>
      </c>
      <c r="F60" s="6" t="s">
        <v>53</v>
      </c>
      <c r="L60" s="2"/>
      <c r="O60" s="212"/>
      <c r="Q60" s="6"/>
      <c r="S60" s="6"/>
      <c r="T60" s="6"/>
      <c r="U60" s="6"/>
      <c r="V60" s="21"/>
      <c r="W60" s="23"/>
      <c r="X60" s="6"/>
      <c r="Y60" s="6"/>
      <c r="Z60" s="6"/>
      <c r="AA60" s="23"/>
    </row>
    <row r="61" spans="2:27" ht="12.75">
      <c r="B61" s="6"/>
      <c r="C61" s="29" t="s">
        <v>192</v>
      </c>
      <c r="E61" s="80">
        <f>E58/E56+E60</f>
        <v>6261.43</v>
      </c>
      <c r="F61" s="6" t="s">
        <v>53</v>
      </c>
      <c r="L61" s="158"/>
      <c r="Q61" s="6"/>
      <c r="S61" s="6"/>
      <c r="T61" s="6"/>
      <c r="U61" s="6"/>
      <c r="V61" s="6"/>
      <c r="W61" s="6"/>
      <c r="X61" s="91"/>
      <c r="Y61" s="6"/>
      <c r="Z61" s="6"/>
      <c r="AA61" s="23"/>
    </row>
    <row r="62" spans="2:27" ht="12.75">
      <c r="B62" s="6"/>
      <c r="C62" s="29" t="s">
        <v>194</v>
      </c>
      <c r="E62" s="28">
        <f>E61/(E63*1000000)*100</f>
        <v>0.41742866666666667</v>
      </c>
      <c r="F62" s="6" t="s">
        <v>106</v>
      </c>
      <c r="L62" s="2"/>
      <c r="Q62" s="6"/>
      <c r="S62" s="6"/>
      <c r="T62" s="6"/>
      <c r="U62" s="6"/>
      <c r="V62" s="6"/>
      <c r="W62" s="6"/>
      <c r="X62" s="151"/>
      <c r="Y62" s="89"/>
      <c r="Z62" s="6"/>
      <c r="AA62" s="23"/>
    </row>
    <row r="63" spans="2:31" ht="12.75">
      <c r="B63" s="6"/>
      <c r="C63" s="29" t="s">
        <v>262</v>
      </c>
      <c r="E63" s="28">
        <f>'Hypothèses coûts'!D71</f>
        <v>1.5</v>
      </c>
      <c r="F63" s="6" t="s">
        <v>92</v>
      </c>
      <c r="G63" s="6"/>
      <c r="H63" s="6"/>
      <c r="J63" s="29"/>
      <c r="O63" s="28"/>
      <c r="P63" s="6"/>
      <c r="U63" s="6"/>
      <c r="W63" s="6"/>
      <c r="X63" s="6"/>
      <c r="Y63" s="6"/>
      <c r="Z63" s="6"/>
      <c r="AA63" s="23"/>
      <c r="AB63" s="6"/>
      <c r="AC63" s="6"/>
      <c r="AD63" s="110"/>
      <c r="AE63" s="23"/>
    </row>
    <row r="64" spans="2:31" ht="12.75">
      <c r="B64" s="6"/>
      <c r="F64" s="96"/>
      <c r="G64" s="6"/>
      <c r="H64" s="6"/>
      <c r="U64" s="6"/>
      <c r="W64" s="6"/>
      <c r="X64" s="6"/>
      <c r="Y64" s="6"/>
      <c r="Z64" s="6"/>
      <c r="AA64" s="6"/>
      <c r="AB64" s="110"/>
      <c r="AC64" s="6"/>
      <c r="AD64" s="110"/>
      <c r="AE64" s="23"/>
    </row>
    <row r="65" spans="2:31" ht="12.75">
      <c r="B65" s="21" t="s">
        <v>259</v>
      </c>
      <c r="C65" s="29"/>
      <c r="D65" s="23"/>
      <c r="E65" s="2" t="s">
        <v>257</v>
      </c>
      <c r="F65" s="23"/>
      <c r="I65" s="2"/>
      <c r="J65" s="2"/>
      <c r="K65" s="2"/>
      <c r="P65" s="2"/>
      <c r="U65" s="6"/>
      <c r="W65" s="6"/>
      <c r="X65" s="6"/>
      <c r="Y65" s="6"/>
      <c r="Z65" s="6"/>
      <c r="AA65" s="6"/>
      <c r="AB65" s="110"/>
      <c r="AC65" s="6"/>
      <c r="AD65" s="110"/>
      <c r="AE65" s="23"/>
    </row>
    <row r="66" spans="3:34" ht="12.75">
      <c r="C66" s="172" t="s">
        <v>294</v>
      </c>
      <c r="F66" s="80">
        <f>E52</f>
        <v>6115.633333333333</v>
      </c>
      <c r="P66" s="2"/>
      <c r="T66" s="110"/>
      <c r="U66" s="6"/>
      <c r="W66" s="6"/>
      <c r="X66" s="6"/>
      <c r="Y66" s="6"/>
      <c r="Z66" s="6"/>
      <c r="AA66" s="6"/>
      <c r="AB66" s="6"/>
      <c r="AC66" s="6"/>
      <c r="AD66" s="6"/>
      <c r="AE66" s="6"/>
      <c r="AF66" s="6"/>
      <c r="AG66" s="110"/>
      <c r="AH66" s="6"/>
    </row>
    <row r="67" spans="3:30" ht="12.75">
      <c r="C67" s="6" t="s">
        <v>202</v>
      </c>
      <c r="F67" s="97">
        <f>'Hypothèses coûts'!D76</f>
        <v>500</v>
      </c>
      <c r="G67" s="6"/>
      <c r="H67" s="2"/>
      <c r="U67" s="6"/>
      <c r="W67" s="6"/>
      <c r="X67" s="6"/>
      <c r="Y67" s="6"/>
      <c r="Z67" s="6"/>
      <c r="AA67" s="6"/>
      <c r="AB67" s="91"/>
      <c r="AC67" s="6"/>
      <c r="AD67" s="153"/>
    </row>
    <row r="68" spans="3:30" ht="12.75">
      <c r="C68" s="6" t="s">
        <v>197</v>
      </c>
      <c r="F68" s="80">
        <f>'Hypothèses coûts'!D77*'Coût collecte'!F71</f>
        <v>688.7573</v>
      </c>
      <c r="U68" s="6"/>
      <c r="W68" s="6"/>
      <c r="X68" s="6"/>
      <c r="Y68" s="6"/>
      <c r="Z68" s="6"/>
      <c r="AA68" s="6"/>
      <c r="AB68" s="91"/>
      <c r="AC68" s="6"/>
      <c r="AD68" s="6"/>
    </row>
    <row r="69" spans="3:30" ht="12.75">
      <c r="C69" s="6" t="s">
        <v>154</v>
      </c>
      <c r="F69" s="80">
        <f>'Hypothèses coûts'!D78*('Coût collecte'!F67+'Coût collecte'!F68)</f>
        <v>47.550292</v>
      </c>
      <c r="U69" s="6"/>
      <c r="W69" s="6"/>
      <c r="X69" s="6"/>
      <c r="Y69" s="6"/>
      <c r="Z69" s="6"/>
      <c r="AA69" s="6"/>
      <c r="AB69" s="91"/>
      <c r="AC69" s="6"/>
      <c r="AD69" s="6"/>
    </row>
    <row r="70" spans="3:30" ht="12.75">
      <c r="C70" s="2" t="s">
        <v>205</v>
      </c>
      <c r="F70" s="167">
        <f>SUM(F66:F69)</f>
        <v>7351.940925333333</v>
      </c>
      <c r="U70" s="6"/>
      <c r="W70" s="6"/>
      <c r="X70" s="6"/>
      <c r="Y70" s="6"/>
      <c r="Z70" s="6"/>
      <c r="AA70" s="6"/>
      <c r="AB70" s="6"/>
      <c r="AC70" s="6"/>
      <c r="AD70" s="6"/>
    </row>
    <row r="71" spans="3:30" ht="12.75">
      <c r="C71" s="29" t="s">
        <v>258</v>
      </c>
      <c r="F71" s="80">
        <f>E61</f>
        <v>6261.43</v>
      </c>
      <c r="U71" s="6"/>
      <c r="W71" s="6"/>
      <c r="X71" s="6"/>
      <c r="Y71" s="6"/>
      <c r="Z71" s="6"/>
      <c r="AA71" s="6"/>
      <c r="AB71" s="6"/>
      <c r="AC71" s="6"/>
      <c r="AD71" s="6"/>
    </row>
    <row r="72" spans="7:30" ht="12.75">
      <c r="G72" s="2"/>
      <c r="W72" s="6"/>
      <c r="X72" s="6"/>
      <c r="Y72" s="6"/>
      <c r="Z72" s="6"/>
      <c r="AA72" s="6"/>
      <c r="AB72" s="110"/>
      <c r="AC72" s="6"/>
      <c r="AD72" s="6"/>
    </row>
    <row r="73" spans="2:30" ht="12.75">
      <c r="B73" s="100" t="s">
        <v>260</v>
      </c>
      <c r="G73" s="2"/>
      <c r="W73" s="6"/>
      <c r="X73" s="6"/>
      <c r="Y73" s="6"/>
      <c r="Z73" s="6"/>
      <c r="AA73" s="6"/>
      <c r="AB73" s="110"/>
      <c r="AC73" s="6"/>
      <c r="AD73" s="6"/>
    </row>
    <row r="74" spans="3:30" ht="12.75">
      <c r="C74" s="2" t="s">
        <v>206</v>
      </c>
      <c r="D74" s="2"/>
      <c r="E74" s="2"/>
      <c r="F74" s="101">
        <f>F70-F71</f>
        <v>1090.510925333333</v>
      </c>
      <c r="G74" s="2"/>
      <c r="T74" s="160"/>
      <c r="W74" s="6"/>
      <c r="X74" s="6"/>
      <c r="Y74" s="6"/>
      <c r="Z74" s="6"/>
      <c r="AA74" s="6"/>
      <c r="AB74" s="91"/>
      <c r="AC74" s="6"/>
      <c r="AD74" s="6"/>
    </row>
    <row r="75" spans="3:30" ht="12.75">
      <c r="C75" s="148" t="s">
        <v>198</v>
      </c>
      <c r="E75" s="2"/>
      <c r="F75" s="95">
        <f>F74/(E63*1000000)*100</f>
        <v>0.07270072835555554</v>
      </c>
      <c r="G75" s="6" t="s">
        <v>118</v>
      </c>
      <c r="L75" s="160"/>
      <c r="W75" s="6"/>
      <c r="X75" s="6"/>
      <c r="Y75" s="6"/>
      <c r="Z75" s="6"/>
      <c r="AA75" s="6"/>
      <c r="AB75" s="156"/>
      <c r="AC75" s="6"/>
      <c r="AD75" s="6"/>
    </row>
    <row r="76" spans="2:25" ht="12.75">
      <c r="B76" s="6"/>
      <c r="G76" s="2"/>
      <c r="H76" s="2"/>
      <c r="I76" s="2"/>
      <c r="W76" s="6"/>
      <c r="X76" s="6"/>
      <c r="Y76" s="6"/>
    </row>
    <row r="77" spans="2:25" ht="12.75">
      <c r="B77" s="6"/>
      <c r="G77" s="2"/>
      <c r="H77" s="2"/>
      <c r="I77" s="2"/>
      <c r="T77" s="160"/>
      <c r="W77" s="6"/>
      <c r="X77" s="6"/>
      <c r="Y77" s="6"/>
    </row>
    <row r="78" spans="12:24" ht="12.75">
      <c r="L78" s="2"/>
      <c r="M78" s="2"/>
      <c r="N78" s="2"/>
      <c r="O78" s="168"/>
      <c r="P78" s="2"/>
      <c r="Q78" s="2"/>
      <c r="R78" s="150"/>
      <c r="S78" s="6"/>
      <c r="T78" s="6"/>
      <c r="W78" s="6"/>
      <c r="X78" s="6"/>
    </row>
    <row r="79" spans="12:24" ht="12.75">
      <c r="L79" s="148"/>
      <c r="N79" s="2"/>
      <c r="O79" s="150"/>
      <c r="P79" s="6"/>
      <c r="W79" s="6"/>
      <c r="X79" s="6"/>
    </row>
    <row r="80" spans="3:24" ht="12.75">
      <c r="C80" s="18"/>
      <c r="D80" s="18"/>
      <c r="E80" s="18"/>
      <c r="F80" s="18"/>
      <c r="G80" s="6"/>
      <c r="H80" s="2"/>
      <c r="I80" s="6"/>
      <c r="L80" s="6"/>
      <c r="M80" s="6"/>
      <c r="N80" s="6"/>
      <c r="O80" s="6"/>
      <c r="W80" s="6"/>
      <c r="X80" s="6"/>
    </row>
    <row r="81" spans="3:24" ht="12.75">
      <c r="C81" s="23"/>
      <c r="D81" s="23"/>
      <c r="E81" s="6"/>
      <c r="F81" s="23"/>
      <c r="G81" s="6"/>
      <c r="H81" s="2"/>
      <c r="I81" s="6"/>
      <c r="L81" s="6"/>
      <c r="M81" s="6"/>
      <c r="N81" s="150"/>
      <c r="O81" s="6"/>
      <c r="W81" s="6"/>
      <c r="X81" s="6"/>
    </row>
    <row r="82" spans="3:24" ht="12.75">
      <c r="C82" s="6"/>
      <c r="D82" s="6"/>
      <c r="E82" s="6"/>
      <c r="F82" s="23"/>
      <c r="G82" s="6"/>
      <c r="H82" s="2"/>
      <c r="I82" s="6"/>
      <c r="L82" s="6"/>
      <c r="M82" s="6"/>
      <c r="N82" s="6"/>
      <c r="O82" s="6"/>
      <c r="W82" s="6"/>
      <c r="X82" s="6"/>
    </row>
    <row r="83" spans="3:24" ht="12.75">
      <c r="C83" s="98"/>
      <c r="D83" s="6"/>
      <c r="E83" s="6"/>
      <c r="F83" s="23"/>
      <c r="G83" s="6"/>
      <c r="H83" s="2"/>
      <c r="I83" s="6"/>
      <c r="L83" s="6"/>
      <c r="M83" s="6"/>
      <c r="N83" s="6"/>
      <c r="O83" s="6"/>
      <c r="W83" s="6"/>
      <c r="X83" s="6"/>
    </row>
    <row r="84" spans="3:24" ht="12.75">
      <c r="C84" s="98"/>
      <c r="D84" s="6"/>
      <c r="E84" s="6"/>
      <c r="F84" s="23"/>
      <c r="G84" s="6"/>
      <c r="H84" s="2"/>
      <c r="I84" s="6"/>
      <c r="L84" s="6"/>
      <c r="M84" s="6"/>
      <c r="N84" s="6"/>
      <c r="O84" s="6"/>
      <c r="W84" s="6"/>
      <c r="X84" s="6"/>
    </row>
    <row r="85" spans="3:24" ht="12.75">
      <c r="C85" s="6"/>
      <c r="D85" s="74"/>
      <c r="E85" s="6"/>
      <c r="F85" s="23"/>
      <c r="G85" s="6"/>
      <c r="H85" s="2"/>
      <c r="I85" s="6"/>
      <c r="L85" s="6"/>
      <c r="M85" s="6"/>
      <c r="N85" s="6"/>
      <c r="O85" s="6"/>
      <c r="W85" s="6"/>
      <c r="X85" s="6"/>
    </row>
    <row r="86" spans="3:24" ht="12.75">
      <c r="C86" s="6"/>
      <c r="D86" s="6"/>
      <c r="E86" s="6"/>
      <c r="F86" s="74"/>
      <c r="G86" s="6"/>
      <c r="H86" s="2"/>
      <c r="I86" s="6"/>
      <c r="L86" s="6"/>
      <c r="M86" s="6"/>
      <c r="N86" s="6"/>
      <c r="O86" s="6"/>
      <c r="W86" s="6"/>
      <c r="X86" s="6"/>
    </row>
    <row r="87" spans="3:24" ht="12.75">
      <c r="C87" s="6"/>
      <c r="D87" s="6"/>
      <c r="E87" s="6"/>
      <c r="F87" s="74"/>
      <c r="G87" s="6"/>
      <c r="H87" s="2"/>
      <c r="I87" s="6"/>
      <c r="L87" s="6"/>
      <c r="M87" s="6"/>
      <c r="N87" s="6"/>
      <c r="O87" s="6"/>
      <c r="W87" s="6"/>
      <c r="X87" s="6"/>
    </row>
    <row r="88" spans="3:36" ht="12.75">
      <c r="C88" s="2"/>
      <c r="D88" s="2"/>
      <c r="L88" s="6"/>
      <c r="M88" s="6"/>
      <c r="N88" s="6"/>
      <c r="O88" s="6"/>
      <c r="W88" s="6"/>
      <c r="X88" s="6"/>
      <c r="AC88" s="149"/>
      <c r="AD88" s="6"/>
      <c r="AE88" s="21"/>
      <c r="AF88" s="21"/>
      <c r="AH88" s="6"/>
      <c r="AI88" s="6"/>
      <c r="AJ88" s="6"/>
    </row>
    <row r="89" spans="11:30" ht="12.75">
      <c r="K89" s="6"/>
      <c r="L89" s="6"/>
      <c r="M89" s="6"/>
      <c r="N89" s="6"/>
      <c r="O89" s="91"/>
      <c r="P89" s="6"/>
      <c r="Q89" s="6"/>
      <c r="R89" s="6"/>
      <c r="S89" s="6"/>
      <c r="T89" s="6"/>
      <c r="U89" s="91"/>
      <c r="V89" s="6"/>
      <c r="W89" s="6"/>
      <c r="X89" s="6"/>
      <c r="AC89" s="6"/>
      <c r="AD89" s="6"/>
    </row>
    <row r="90" spans="11:30" ht="12.75">
      <c r="K90" s="6"/>
      <c r="L90" s="6"/>
      <c r="M90" s="6"/>
      <c r="N90" s="6"/>
      <c r="O90" s="91"/>
      <c r="P90" s="6"/>
      <c r="Q90" s="6"/>
      <c r="R90" s="6"/>
      <c r="S90" s="6"/>
      <c r="T90" s="6"/>
      <c r="U90" s="91"/>
      <c r="V90" s="6"/>
      <c r="W90" s="6"/>
      <c r="X90" s="6"/>
      <c r="AC90" s="6"/>
      <c r="AD90" s="6"/>
    </row>
    <row r="91" spans="11:30" ht="12.75">
      <c r="K91" s="6"/>
      <c r="L91" s="6"/>
      <c r="M91" s="6"/>
      <c r="N91" s="6"/>
      <c r="O91" s="91"/>
      <c r="P91" s="6"/>
      <c r="Q91" s="6"/>
      <c r="R91" s="6"/>
      <c r="S91" s="6"/>
      <c r="T91" s="6"/>
      <c r="U91" s="91"/>
      <c r="V91" s="6"/>
      <c r="W91" s="6"/>
      <c r="X91" s="6"/>
      <c r="AC91" s="6"/>
      <c r="AD91" s="6"/>
    </row>
    <row r="92" spans="11:30" ht="12.75">
      <c r="K92" s="6"/>
      <c r="L92" s="6"/>
      <c r="M92" s="6"/>
      <c r="N92" s="150"/>
      <c r="O92" s="91"/>
      <c r="P92" s="6"/>
      <c r="Q92" s="6"/>
      <c r="R92" s="6"/>
      <c r="S92" s="6"/>
      <c r="T92" s="6"/>
      <c r="U92" s="91"/>
      <c r="V92" s="6"/>
      <c r="W92" s="6"/>
      <c r="X92" s="6"/>
      <c r="AC92" s="6"/>
      <c r="AD92" s="6"/>
    </row>
    <row r="93" spans="2:31" ht="12.75">
      <c r="B93" s="6"/>
      <c r="C93" s="2"/>
      <c r="D93" s="2"/>
      <c r="E93" s="2"/>
      <c r="J93" s="6"/>
      <c r="K93" s="6"/>
      <c r="L93" s="6"/>
      <c r="M93" s="6"/>
      <c r="N93" s="6"/>
      <c r="O93" s="91"/>
      <c r="P93" s="6"/>
      <c r="Q93" s="29"/>
      <c r="R93" s="6"/>
      <c r="S93" s="6"/>
      <c r="T93" s="157"/>
      <c r="U93" s="90"/>
      <c r="X93" s="6"/>
      <c r="Y93" s="6"/>
      <c r="Z93" s="6"/>
      <c r="AD93" s="6"/>
      <c r="AE93" s="6"/>
    </row>
    <row r="103" spans="2:39" ht="12.75">
      <c r="B103" s="6"/>
      <c r="C103" s="6"/>
      <c r="D103" s="6"/>
      <c r="E103" s="6"/>
      <c r="F103" s="6"/>
      <c r="G103" s="6"/>
      <c r="H103" s="6"/>
      <c r="I103" s="91"/>
      <c r="J103" s="6"/>
      <c r="K103" s="6"/>
      <c r="L103" s="6"/>
      <c r="M103" s="6"/>
      <c r="N103" s="6"/>
      <c r="O103" s="91"/>
      <c r="P103" s="6"/>
      <c r="Q103" s="6"/>
      <c r="R103" s="6"/>
      <c r="S103" s="6"/>
      <c r="T103" s="6"/>
      <c r="U103" s="91"/>
      <c r="V103" s="6"/>
      <c r="W103" s="6"/>
      <c r="X103" s="6"/>
      <c r="Y103" s="6"/>
      <c r="Z103" s="6"/>
      <c r="AA103" s="148"/>
      <c r="AB103" s="21"/>
      <c r="AC103" s="6"/>
      <c r="AD103" s="21"/>
      <c r="AE103" s="6"/>
      <c r="AM103" s="135"/>
    </row>
    <row r="104" spans="2:39" ht="12.75">
      <c r="B104" s="6"/>
      <c r="C104" s="6"/>
      <c r="D104" s="6"/>
      <c r="E104" s="6"/>
      <c r="F104" s="6"/>
      <c r="G104" s="6"/>
      <c r="H104" s="6"/>
      <c r="I104" s="91"/>
      <c r="J104" s="6"/>
      <c r="K104" s="6"/>
      <c r="L104" s="6"/>
      <c r="M104" s="6"/>
      <c r="N104" s="6"/>
      <c r="O104" s="91"/>
      <c r="P104" s="6"/>
      <c r="Q104" s="6"/>
      <c r="R104" s="6"/>
      <c r="S104" s="6"/>
      <c r="T104" s="6"/>
      <c r="U104" s="91"/>
      <c r="V104" s="6"/>
      <c r="W104" s="6"/>
      <c r="X104" s="6"/>
      <c r="Y104" s="6"/>
      <c r="Z104" s="6"/>
      <c r="AD104" s="6"/>
      <c r="AE104" s="6"/>
      <c r="AM104" s="135"/>
    </row>
    <row r="105" spans="2:39" ht="12.75">
      <c r="B105" s="6"/>
      <c r="C105" s="6"/>
      <c r="D105" s="6"/>
      <c r="E105" s="6"/>
      <c r="F105" s="6"/>
      <c r="G105" s="6"/>
      <c r="H105" s="6"/>
      <c r="I105" s="91"/>
      <c r="J105" s="6"/>
      <c r="K105" s="6"/>
      <c r="L105" s="6"/>
      <c r="M105" s="6"/>
      <c r="N105" s="6"/>
      <c r="O105" s="91"/>
      <c r="P105" s="6"/>
      <c r="Q105" s="6"/>
      <c r="R105" s="6"/>
      <c r="S105" s="6"/>
      <c r="T105" s="6"/>
      <c r="U105" s="91"/>
      <c r="V105" s="6"/>
      <c r="W105" s="6"/>
      <c r="X105" s="6"/>
      <c r="Y105" s="6"/>
      <c r="Z105" s="6"/>
      <c r="AD105" s="6"/>
      <c r="AE105" s="6"/>
      <c r="AM105" s="135"/>
    </row>
    <row r="106" spans="2:31" ht="12.75">
      <c r="B106" s="6"/>
      <c r="C106" s="6"/>
      <c r="D106" s="6"/>
      <c r="E106" s="6"/>
      <c r="F106" s="6"/>
      <c r="G106" s="6"/>
      <c r="H106" s="6"/>
      <c r="I106" s="91"/>
      <c r="J106" s="6"/>
      <c r="K106" s="6"/>
      <c r="L106" s="6"/>
      <c r="M106" s="6"/>
      <c r="N106" s="6"/>
      <c r="O106" s="91"/>
      <c r="P106" s="6"/>
      <c r="Q106" s="6"/>
      <c r="R106" s="6"/>
      <c r="S106" s="6"/>
      <c r="T106" s="6"/>
      <c r="U106" s="91"/>
      <c r="V106" s="6"/>
      <c r="W106" s="6"/>
      <c r="X106" s="6"/>
      <c r="Y106" s="6"/>
      <c r="Z106" s="6"/>
      <c r="AD106" s="6"/>
      <c r="AE106" s="6"/>
    </row>
    <row r="107" spans="2:31" ht="12.75">
      <c r="B107" s="6"/>
      <c r="C107" s="6"/>
      <c r="D107" s="6"/>
      <c r="E107" s="6"/>
      <c r="F107" s="6"/>
      <c r="G107" s="6"/>
      <c r="H107" s="6"/>
      <c r="I107" s="91"/>
      <c r="J107" s="6"/>
      <c r="K107" s="6"/>
      <c r="L107" s="6"/>
      <c r="M107" s="6"/>
      <c r="N107" s="6"/>
      <c r="O107" s="91"/>
      <c r="P107" s="6"/>
      <c r="Q107" s="6"/>
      <c r="R107" s="6"/>
      <c r="S107" s="6"/>
      <c r="T107" s="6"/>
      <c r="U107" s="91"/>
      <c r="V107" s="6"/>
      <c r="W107" s="6"/>
      <c r="X107" s="6"/>
      <c r="Y107" s="6"/>
      <c r="Z107" s="6"/>
      <c r="AD107" s="6"/>
      <c r="AE107" s="6"/>
    </row>
    <row r="108" spans="2:31" ht="12.75">
      <c r="B108" s="6"/>
      <c r="C108" s="6"/>
      <c r="D108" s="6"/>
      <c r="E108" s="6"/>
      <c r="F108" s="6"/>
      <c r="G108" s="6"/>
      <c r="H108" s="6"/>
      <c r="I108" s="91"/>
      <c r="J108" s="6"/>
      <c r="K108" s="6"/>
      <c r="L108" s="6"/>
      <c r="M108" s="6"/>
      <c r="N108" s="6"/>
      <c r="O108" s="91"/>
      <c r="P108" s="6"/>
      <c r="Q108" s="6"/>
      <c r="R108" s="6"/>
      <c r="S108" s="6"/>
      <c r="T108" s="6"/>
      <c r="U108" s="91"/>
      <c r="V108" s="6"/>
      <c r="W108" s="6"/>
      <c r="X108" s="6"/>
      <c r="Y108" s="6"/>
      <c r="Z108" s="6"/>
      <c r="AD108" s="6"/>
      <c r="AE108" s="6"/>
    </row>
    <row r="109" spans="2:31" ht="12.75">
      <c r="B109" s="6"/>
      <c r="C109" s="6"/>
      <c r="D109" s="6"/>
      <c r="E109" s="6"/>
      <c r="F109" s="6"/>
      <c r="G109" s="6"/>
      <c r="H109" s="6"/>
      <c r="I109" s="91"/>
      <c r="J109" s="6"/>
      <c r="K109" s="6"/>
      <c r="L109" s="6"/>
      <c r="M109" s="6"/>
      <c r="N109" s="6"/>
      <c r="O109" s="91"/>
      <c r="P109" s="6"/>
      <c r="Q109" s="6"/>
      <c r="R109" s="6"/>
      <c r="S109" s="6"/>
      <c r="T109" s="6"/>
      <c r="U109" s="91"/>
      <c r="V109" s="6"/>
      <c r="W109" s="6"/>
      <c r="X109" s="6"/>
      <c r="Y109" s="6"/>
      <c r="Z109" s="6"/>
      <c r="AD109" s="6"/>
      <c r="AE109" s="6"/>
    </row>
    <row r="110" spans="2:31" ht="12.75">
      <c r="B110" s="6"/>
      <c r="C110" s="6"/>
      <c r="D110" s="6"/>
      <c r="E110" s="6"/>
      <c r="F110" s="6"/>
      <c r="G110" s="6"/>
      <c r="H110" s="6"/>
      <c r="I110" s="91"/>
      <c r="J110" s="6"/>
      <c r="K110" s="6"/>
      <c r="L110" s="6"/>
      <c r="M110" s="6"/>
      <c r="N110" s="6"/>
      <c r="O110" s="91"/>
      <c r="P110" s="6"/>
      <c r="Q110" s="6"/>
      <c r="R110" s="6"/>
      <c r="S110" s="6"/>
      <c r="T110" s="6"/>
      <c r="U110" s="91"/>
      <c r="V110" s="6"/>
      <c r="W110" s="6"/>
      <c r="X110" s="6"/>
      <c r="Y110" s="6"/>
      <c r="Z110" s="6"/>
      <c r="AD110" s="6"/>
      <c r="AE110" s="6"/>
    </row>
    <row r="111" spans="2:31" ht="12.75">
      <c r="B111" s="6"/>
      <c r="C111" s="6"/>
      <c r="D111" s="6"/>
      <c r="E111" s="6"/>
      <c r="F111" s="6"/>
      <c r="G111" s="6"/>
      <c r="H111" s="6"/>
      <c r="I111" s="91"/>
      <c r="J111" s="6"/>
      <c r="K111" s="6"/>
      <c r="L111" s="6"/>
      <c r="M111" s="6"/>
      <c r="N111" s="6"/>
      <c r="O111" s="91"/>
      <c r="P111" s="6"/>
      <c r="Q111" s="6"/>
      <c r="R111" s="6"/>
      <c r="S111" s="6"/>
      <c r="T111" s="6"/>
      <c r="U111" s="91"/>
      <c r="V111" s="6"/>
      <c r="W111" s="6"/>
      <c r="X111" s="6"/>
      <c r="Y111" s="6"/>
      <c r="Z111" s="6"/>
      <c r="AD111" s="6"/>
      <c r="AE111" s="6"/>
    </row>
    <row r="112" spans="2:31" ht="12.75">
      <c r="B112" s="6"/>
      <c r="C112" s="6"/>
      <c r="D112" s="6"/>
      <c r="E112" s="6"/>
      <c r="F112" s="6"/>
      <c r="G112" s="6"/>
      <c r="H112" s="6"/>
      <c r="I112" s="91"/>
      <c r="J112" s="6"/>
      <c r="K112" s="6"/>
      <c r="L112" s="6"/>
      <c r="M112" s="6"/>
      <c r="N112" s="6"/>
      <c r="O112" s="91"/>
      <c r="P112" s="6"/>
      <c r="Q112" s="6"/>
      <c r="R112" s="6"/>
      <c r="S112" s="6"/>
      <c r="T112" s="6"/>
      <c r="U112" s="91"/>
      <c r="V112" s="6"/>
      <c r="W112" s="6"/>
      <c r="X112" s="6"/>
      <c r="Y112" s="6"/>
      <c r="Z112" s="6"/>
      <c r="AD112" s="82"/>
      <c r="AE112" s="6"/>
    </row>
    <row r="113" spans="2:31" ht="12.75">
      <c r="B113" s="6"/>
      <c r="C113" s="6"/>
      <c r="D113" s="6"/>
      <c r="E113" s="6"/>
      <c r="F113" s="6"/>
      <c r="G113" s="6"/>
      <c r="H113" s="6"/>
      <c r="I113" s="91"/>
      <c r="J113" s="6"/>
      <c r="K113" s="6"/>
      <c r="L113" s="6"/>
      <c r="M113" s="6"/>
      <c r="N113" s="6"/>
      <c r="O113" s="91"/>
      <c r="P113" s="6"/>
      <c r="Q113" s="6"/>
      <c r="R113" s="6"/>
      <c r="S113" s="6"/>
      <c r="T113" s="6"/>
      <c r="U113" s="91"/>
      <c r="V113" s="6"/>
      <c r="W113" s="6"/>
      <c r="X113" s="6"/>
      <c r="Y113" s="6"/>
      <c r="Z113" s="6"/>
      <c r="AD113" s="82"/>
      <c r="AE113" s="6"/>
    </row>
    <row r="114" spans="2:31" ht="12.75">
      <c r="B114" s="6"/>
      <c r="C114" s="6"/>
      <c r="D114" s="6"/>
      <c r="E114" s="6"/>
      <c r="F114" s="6"/>
      <c r="G114" s="6"/>
      <c r="H114" s="6"/>
      <c r="I114" s="91"/>
      <c r="J114" s="6"/>
      <c r="K114" s="6"/>
      <c r="L114" s="6"/>
      <c r="M114" s="6"/>
      <c r="N114" s="6"/>
      <c r="O114" s="91"/>
      <c r="P114" s="6"/>
      <c r="Q114" s="6"/>
      <c r="R114" s="6"/>
      <c r="S114" s="6"/>
      <c r="T114" s="6"/>
      <c r="U114" s="91"/>
      <c r="V114" s="6"/>
      <c r="W114" s="6"/>
      <c r="X114" s="6"/>
      <c r="Y114" s="6"/>
      <c r="Z114" s="6"/>
      <c r="AD114" s="6"/>
      <c r="AE114" s="6"/>
    </row>
    <row r="115" spans="2:37" ht="12.75">
      <c r="B115" s="6"/>
      <c r="C115" s="6"/>
      <c r="D115" s="6"/>
      <c r="E115" s="6"/>
      <c r="F115" s="6"/>
      <c r="G115" s="6"/>
      <c r="H115" s="6"/>
      <c r="I115" s="91"/>
      <c r="J115" s="6"/>
      <c r="K115" s="6"/>
      <c r="L115" s="6"/>
      <c r="M115" s="6"/>
      <c r="N115" s="6"/>
      <c r="O115" s="91"/>
      <c r="P115" s="6"/>
      <c r="Q115" s="6"/>
      <c r="R115" s="6"/>
      <c r="S115" s="6"/>
      <c r="T115" s="6"/>
      <c r="U115" s="91"/>
      <c r="V115" s="6"/>
      <c r="W115" s="6"/>
      <c r="X115" s="6"/>
      <c r="Y115" s="6"/>
      <c r="Z115" s="6"/>
      <c r="AD115" s="6"/>
      <c r="AE115" s="6"/>
      <c r="AF115" s="6"/>
      <c r="AG115" s="6"/>
      <c r="AH115" s="91"/>
      <c r="AI115" s="6"/>
      <c r="AJ115" s="6"/>
      <c r="AK115" s="6"/>
    </row>
    <row r="116" spans="2:37" ht="12.75">
      <c r="B116" s="6"/>
      <c r="C116" s="6"/>
      <c r="D116" s="6"/>
      <c r="E116" s="6"/>
      <c r="F116" s="6"/>
      <c r="G116" s="6"/>
      <c r="H116" s="6"/>
      <c r="I116" s="91"/>
      <c r="J116" s="6"/>
      <c r="K116" s="6"/>
      <c r="L116" s="6"/>
      <c r="M116" s="6"/>
      <c r="N116" s="6"/>
      <c r="O116" s="91"/>
      <c r="P116" s="6"/>
      <c r="Q116" s="6"/>
      <c r="R116" s="6"/>
      <c r="S116" s="6"/>
      <c r="T116" s="6"/>
      <c r="U116" s="91"/>
      <c r="V116" s="6"/>
      <c r="W116" s="6"/>
      <c r="X116" s="6"/>
      <c r="Y116" s="6"/>
      <c r="Z116" s="6"/>
      <c r="AD116" s="2"/>
      <c r="AE116" s="6"/>
      <c r="AF116" s="6"/>
      <c r="AG116" s="6"/>
      <c r="AH116" s="91"/>
      <c r="AI116" s="6"/>
      <c r="AJ116" s="6"/>
      <c r="AK116" s="6"/>
    </row>
    <row r="117" spans="2:37" ht="12.75">
      <c r="B117" s="6"/>
      <c r="C117" s="6"/>
      <c r="D117" s="6"/>
      <c r="E117" s="6"/>
      <c r="F117" s="6"/>
      <c r="G117" s="6"/>
      <c r="H117" s="6"/>
      <c r="I117" s="91"/>
      <c r="J117" s="6"/>
      <c r="K117" s="6"/>
      <c r="L117" s="6"/>
      <c r="M117" s="6"/>
      <c r="N117" s="6"/>
      <c r="O117" s="91"/>
      <c r="P117" s="6"/>
      <c r="Q117" s="6"/>
      <c r="R117" s="6"/>
      <c r="S117" s="6"/>
      <c r="T117" s="6"/>
      <c r="U117" s="91"/>
      <c r="V117" s="6"/>
      <c r="W117" s="6"/>
      <c r="X117" s="6"/>
      <c r="Y117" s="6"/>
      <c r="Z117" s="6"/>
      <c r="AD117" s="18"/>
      <c r="AE117" s="6"/>
      <c r="AF117" s="6"/>
      <c r="AG117" s="6"/>
      <c r="AH117" s="91"/>
      <c r="AI117" s="6"/>
      <c r="AJ117" s="6"/>
      <c r="AK117" s="6"/>
    </row>
    <row r="118" spans="2:37" ht="12.75">
      <c r="B118" s="6"/>
      <c r="C118" s="6"/>
      <c r="D118" s="6"/>
      <c r="E118" s="6"/>
      <c r="F118" s="6"/>
      <c r="G118" s="6"/>
      <c r="H118" s="6"/>
      <c r="I118" s="91"/>
      <c r="J118" s="6"/>
      <c r="K118" s="6"/>
      <c r="L118" s="6"/>
      <c r="M118" s="6"/>
      <c r="N118" s="6"/>
      <c r="O118" s="91"/>
      <c r="P118" s="6"/>
      <c r="Q118" s="6"/>
      <c r="R118" s="6"/>
      <c r="S118" s="6"/>
      <c r="T118" s="6"/>
      <c r="U118" s="91"/>
      <c r="V118" s="6"/>
      <c r="W118" s="6"/>
      <c r="X118" s="6"/>
      <c r="Y118" s="6"/>
      <c r="Z118" s="6"/>
      <c r="AA118" s="29"/>
      <c r="AB118" s="74"/>
      <c r="AC118" s="6"/>
      <c r="AD118" s="74"/>
      <c r="AF118" s="6"/>
      <c r="AG118" s="6"/>
      <c r="AH118" s="91"/>
      <c r="AI118" s="6"/>
      <c r="AJ118" s="6"/>
      <c r="AK118" s="6"/>
    </row>
    <row r="119" spans="2:37" ht="12.75">
      <c r="B119" s="6"/>
      <c r="C119" s="6"/>
      <c r="D119" s="6"/>
      <c r="E119" s="6"/>
      <c r="F119" s="6"/>
      <c r="G119" s="6"/>
      <c r="H119" s="6"/>
      <c r="I119" s="91"/>
      <c r="J119" s="6"/>
      <c r="K119" s="6"/>
      <c r="L119" s="6"/>
      <c r="M119" s="6"/>
      <c r="N119" s="6"/>
      <c r="O119" s="91"/>
      <c r="P119" s="6"/>
      <c r="Q119" s="6"/>
      <c r="R119" s="6"/>
      <c r="S119" s="6"/>
      <c r="T119" s="6"/>
      <c r="U119" s="91"/>
      <c r="V119" s="6"/>
      <c r="W119" s="6"/>
      <c r="X119" s="6"/>
      <c r="Y119" s="6"/>
      <c r="Z119" s="6"/>
      <c r="AA119" s="6"/>
      <c r="AB119" s="6"/>
      <c r="AC119" s="6"/>
      <c r="AD119" s="153"/>
      <c r="AE119" s="6"/>
      <c r="AF119" s="6"/>
      <c r="AG119" s="6"/>
      <c r="AH119" s="91"/>
      <c r="AI119" s="6"/>
      <c r="AJ119" s="6"/>
      <c r="AK119" s="6"/>
    </row>
    <row r="120" spans="2:37" ht="12.75">
      <c r="B120" s="6"/>
      <c r="C120" s="6"/>
      <c r="D120" s="6"/>
      <c r="E120" s="6"/>
      <c r="F120" s="6"/>
      <c r="G120" s="6"/>
      <c r="H120" s="6"/>
      <c r="I120" s="91"/>
      <c r="J120" s="6"/>
      <c r="K120" s="6"/>
      <c r="L120" s="6"/>
      <c r="M120" s="6"/>
      <c r="N120" s="6"/>
      <c r="O120" s="91"/>
      <c r="P120" s="6"/>
      <c r="Q120" s="6"/>
      <c r="R120" s="6"/>
      <c r="S120" s="6"/>
      <c r="T120" s="6"/>
      <c r="U120" s="91"/>
      <c r="V120" s="6"/>
      <c r="W120" s="6"/>
      <c r="X120" s="6"/>
      <c r="Y120" s="6"/>
      <c r="Z120" s="6"/>
      <c r="AA120" s="98"/>
      <c r="AB120" s="6"/>
      <c r="AC120" s="6"/>
      <c r="AD120" s="74"/>
      <c r="AE120" s="6"/>
      <c r="AF120" s="6"/>
      <c r="AG120" s="6"/>
      <c r="AH120" s="91"/>
      <c r="AI120" s="6"/>
      <c r="AJ120" s="6"/>
      <c r="AK120" s="6"/>
    </row>
    <row r="121" spans="2:37" ht="12.75">
      <c r="B121" s="6"/>
      <c r="C121" s="6"/>
      <c r="D121" s="6"/>
      <c r="E121" s="6"/>
      <c r="F121" s="6"/>
      <c r="G121" s="6"/>
      <c r="H121" s="6"/>
      <c r="I121" s="91"/>
      <c r="J121" s="6"/>
      <c r="K121" s="6"/>
      <c r="L121" s="6"/>
      <c r="M121" s="6"/>
      <c r="N121" s="6"/>
      <c r="O121" s="91"/>
      <c r="P121" s="6"/>
      <c r="Q121" s="6"/>
      <c r="R121" s="6"/>
      <c r="S121" s="6"/>
      <c r="T121" s="6"/>
      <c r="U121" s="91"/>
      <c r="V121" s="6"/>
      <c r="W121" s="6"/>
      <c r="X121" s="6"/>
      <c r="Y121" s="6"/>
      <c r="Z121" s="6"/>
      <c r="AA121" s="98"/>
      <c r="AB121" s="6"/>
      <c r="AC121" s="6"/>
      <c r="AD121" s="74"/>
      <c r="AE121" s="6"/>
      <c r="AF121" s="6"/>
      <c r="AG121" s="6"/>
      <c r="AH121" s="91"/>
      <c r="AI121" s="6"/>
      <c r="AJ121" s="6"/>
      <c r="AK121" s="6"/>
    </row>
    <row r="122" spans="2:37" ht="12.75">
      <c r="B122" s="6"/>
      <c r="C122" s="6"/>
      <c r="D122" s="6"/>
      <c r="E122" s="6"/>
      <c r="F122" s="6"/>
      <c r="G122" s="6"/>
      <c r="H122" s="6"/>
      <c r="I122" s="91"/>
      <c r="J122" s="6"/>
      <c r="K122" s="6"/>
      <c r="L122" s="6"/>
      <c r="M122" s="6"/>
      <c r="N122" s="6"/>
      <c r="O122" s="91"/>
      <c r="P122" s="6"/>
      <c r="Q122" s="6"/>
      <c r="R122" s="6"/>
      <c r="S122" s="6"/>
      <c r="T122" s="6"/>
      <c r="U122" s="91"/>
      <c r="V122" s="6"/>
      <c r="W122" s="6"/>
      <c r="X122" s="6"/>
      <c r="Y122" s="6"/>
      <c r="Z122" s="6"/>
      <c r="AA122" s="6"/>
      <c r="AB122" s="74"/>
      <c r="AC122" s="6"/>
      <c r="AD122" s="74"/>
      <c r="AE122" s="6"/>
      <c r="AF122" s="6"/>
      <c r="AG122" s="6"/>
      <c r="AH122" s="91"/>
      <c r="AI122" s="6"/>
      <c r="AJ122" s="6"/>
      <c r="AK122" s="6"/>
    </row>
    <row r="123" spans="2:37" ht="12.75">
      <c r="B123" s="6"/>
      <c r="C123" s="6"/>
      <c r="D123" s="6"/>
      <c r="E123" s="6"/>
      <c r="F123" s="6"/>
      <c r="G123" s="6"/>
      <c r="H123" s="6"/>
      <c r="I123" s="91"/>
      <c r="J123" s="6"/>
      <c r="K123" s="6"/>
      <c r="L123" s="6"/>
      <c r="M123" s="6"/>
      <c r="N123" s="6"/>
      <c r="O123" s="91"/>
      <c r="P123" s="6"/>
      <c r="Q123" s="6"/>
      <c r="R123" s="6"/>
      <c r="S123" s="6"/>
      <c r="T123" s="6"/>
      <c r="U123" s="91"/>
      <c r="V123" s="6"/>
      <c r="W123" s="6"/>
      <c r="X123" s="6"/>
      <c r="Y123" s="6"/>
      <c r="Z123" s="6"/>
      <c r="AA123" s="6"/>
      <c r="AB123" s="6"/>
      <c r="AC123" s="6"/>
      <c r="AD123" s="74"/>
      <c r="AE123" s="6"/>
      <c r="AF123" s="6"/>
      <c r="AG123" s="6"/>
      <c r="AH123" s="91"/>
      <c r="AI123" s="6"/>
      <c r="AJ123" s="6"/>
      <c r="AK123" s="6"/>
    </row>
    <row r="124" spans="2:37" ht="12.75">
      <c r="B124" s="6"/>
      <c r="C124" s="6"/>
      <c r="D124" s="6"/>
      <c r="E124" s="6"/>
      <c r="F124" s="6"/>
      <c r="G124" s="6"/>
      <c r="H124" s="6"/>
      <c r="I124" s="91"/>
      <c r="J124" s="6"/>
      <c r="K124" s="6"/>
      <c r="L124" s="6"/>
      <c r="M124" s="6"/>
      <c r="N124" s="6"/>
      <c r="O124" s="91"/>
      <c r="P124" s="6"/>
      <c r="Q124" s="6"/>
      <c r="R124" s="6"/>
      <c r="S124" s="6"/>
      <c r="T124" s="6"/>
      <c r="U124" s="91"/>
      <c r="V124" s="6"/>
      <c r="W124" s="6"/>
      <c r="X124" s="6"/>
      <c r="Y124" s="6"/>
      <c r="Z124" s="6"/>
      <c r="AD124" s="74"/>
      <c r="AE124" s="6"/>
      <c r="AF124" s="6"/>
      <c r="AG124" s="6"/>
      <c r="AH124" s="91"/>
      <c r="AI124" s="6"/>
      <c r="AJ124" s="6"/>
      <c r="AK124" s="6"/>
    </row>
    <row r="125" spans="2:37" ht="12.75">
      <c r="B125" s="6"/>
      <c r="C125" s="6"/>
      <c r="D125" s="6"/>
      <c r="E125" s="6"/>
      <c r="F125" s="6"/>
      <c r="G125" s="6"/>
      <c r="H125" s="6"/>
      <c r="I125" s="91"/>
      <c r="J125" s="6"/>
      <c r="K125" s="6"/>
      <c r="L125" s="6"/>
      <c r="M125" s="6"/>
      <c r="N125" s="6"/>
      <c r="O125" s="91"/>
      <c r="P125" s="6"/>
      <c r="Q125" s="6"/>
      <c r="R125" s="6"/>
      <c r="S125" s="6"/>
      <c r="T125" s="6"/>
      <c r="U125" s="91"/>
      <c r="V125" s="6"/>
      <c r="W125" s="6"/>
      <c r="X125" s="6"/>
      <c r="Y125" s="6"/>
      <c r="Z125" s="6"/>
      <c r="AD125" s="74"/>
      <c r="AF125" s="6"/>
      <c r="AG125" s="6"/>
      <c r="AH125" s="91"/>
      <c r="AI125" s="6"/>
      <c r="AJ125" s="6"/>
      <c r="AK125" s="6"/>
    </row>
    <row r="126" spans="2:37" ht="12.75">
      <c r="B126" s="6"/>
      <c r="C126" s="6"/>
      <c r="D126" s="6"/>
      <c r="E126" s="6"/>
      <c r="F126" s="6"/>
      <c r="G126" s="6"/>
      <c r="H126" s="6"/>
      <c r="I126" s="91"/>
      <c r="J126" s="6"/>
      <c r="K126" s="6"/>
      <c r="L126" s="6"/>
      <c r="M126" s="6"/>
      <c r="N126" s="6"/>
      <c r="O126" s="91"/>
      <c r="P126" s="6"/>
      <c r="Q126" s="6"/>
      <c r="R126" s="6"/>
      <c r="S126" s="6"/>
      <c r="T126" s="6"/>
      <c r="U126" s="91"/>
      <c r="V126" s="6"/>
      <c r="W126" s="6"/>
      <c r="X126" s="6"/>
      <c r="Y126" s="6"/>
      <c r="Z126" s="6"/>
      <c r="AD126" s="6"/>
      <c r="AE126" s="6"/>
      <c r="AF126" s="6"/>
      <c r="AG126" s="6"/>
      <c r="AH126" s="91"/>
      <c r="AI126" s="6"/>
      <c r="AJ126" s="6"/>
      <c r="AK126" s="6"/>
    </row>
    <row r="127" spans="2:37" ht="12.75">
      <c r="B127" s="6"/>
      <c r="C127" s="6"/>
      <c r="D127" s="6"/>
      <c r="E127" s="6"/>
      <c r="F127" s="6"/>
      <c r="G127" s="6"/>
      <c r="H127" s="6"/>
      <c r="I127" s="91"/>
      <c r="J127" s="6"/>
      <c r="K127" s="6"/>
      <c r="L127" s="6"/>
      <c r="M127" s="6"/>
      <c r="N127" s="6"/>
      <c r="O127" s="91"/>
      <c r="P127" s="6"/>
      <c r="Q127" s="6"/>
      <c r="R127" s="6"/>
      <c r="S127" s="6"/>
      <c r="T127" s="6"/>
      <c r="U127" s="91"/>
      <c r="V127" s="6"/>
      <c r="W127" s="6"/>
      <c r="X127" s="6"/>
      <c r="Y127" s="6"/>
      <c r="Z127" s="6"/>
      <c r="AD127" s="6"/>
      <c r="AE127" s="6"/>
      <c r="AF127" s="6"/>
      <c r="AG127" s="6"/>
      <c r="AH127" s="91"/>
      <c r="AI127" s="6"/>
      <c r="AJ127" s="6"/>
      <c r="AK127" s="6"/>
    </row>
    <row r="128" spans="2:37" ht="12.75">
      <c r="B128" s="6"/>
      <c r="C128" s="6"/>
      <c r="D128" s="6"/>
      <c r="E128" s="6"/>
      <c r="F128" s="6"/>
      <c r="G128" s="6"/>
      <c r="H128" s="6"/>
      <c r="I128" s="91"/>
      <c r="J128" s="6"/>
      <c r="K128" s="6"/>
      <c r="L128" s="6"/>
      <c r="M128" s="6"/>
      <c r="N128" s="6"/>
      <c r="O128" s="91"/>
      <c r="P128" s="6"/>
      <c r="Q128" s="6"/>
      <c r="R128" s="6"/>
      <c r="S128" s="6"/>
      <c r="T128" s="6"/>
      <c r="U128" s="91"/>
      <c r="V128" s="6"/>
      <c r="W128" s="6"/>
      <c r="X128" s="6"/>
      <c r="Y128" s="6"/>
      <c r="Z128" s="6"/>
      <c r="AD128" s="6"/>
      <c r="AE128" s="42"/>
      <c r="AF128" s="6"/>
      <c r="AG128" s="6"/>
      <c r="AH128" s="91"/>
      <c r="AI128" s="6"/>
      <c r="AJ128" s="6"/>
      <c r="AK128" s="6"/>
    </row>
    <row r="129" spans="2:37" ht="12.75">
      <c r="B129" s="6"/>
      <c r="C129" s="6"/>
      <c r="D129" s="6"/>
      <c r="E129" s="6"/>
      <c r="F129" s="6"/>
      <c r="G129" s="6"/>
      <c r="H129" s="6"/>
      <c r="I129" s="91"/>
      <c r="J129" s="6"/>
      <c r="K129" s="6"/>
      <c r="L129" s="6"/>
      <c r="M129" s="6"/>
      <c r="N129" s="6"/>
      <c r="O129" s="91"/>
      <c r="P129" s="6"/>
      <c r="Q129" s="6"/>
      <c r="R129" s="6"/>
      <c r="S129" s="6"/>
      <c r="T129" s="6"/>
      <c r="U129" s="91"/>
      <c r="V129" s="6"/>
      <c r="W129" s="6"/>
      <c r="X129" s="6"/>
      <c r="Y129" s="6"/>
      <c r="Z129" s="6"/>
      <c r="AA129" s="6"/>
      <c r="AB129" s="6"/>
      <c r="AC129" s="91"/>
      <c r="AD129" s="6"/>
      <c r="AE129" s="6"/>
      <c r="AF129" s="6"/>
      <c r="AG129" s="6"/>
      <c r="AH129" s="91"/>
      <c r="AI129" s="6"/>
      <c r="AJ129" s="6"/>
      <c r="AK129" s="6"/>
    </row>
    <row r="130" spans="2:37" ht="12.75">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91"/>
      <c r="AD130" s="6"/>
      <c r="AE130" s="6"/>
      <c r="AF130" s="6"/>
      <c r="AG130" s="6"/>
      <c r="AH130" s="91"/>
      <c r="AI130" s="6"/>
      <c r="AJ130" s="6"/>
      <c r="AK130" s="6"/>
    </row>
    <row r="131" spans="2:37" ht="12.75">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91"/>
      <c r="AD131" s="6"/>
      <c r="AE131" s="6"/>
      <c r="AF131" s="6"/>
      <c r="AH131" s="6"/>
      <c r="AI131" s="91"/>
      <c r="AJ131" s="6"/>
      <c r="AK131" s="6"/>
    </row>
    <row r="132" spans="2:37" ht="12.75">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91"/>
      <c r="AD132" s="6"/>
      <c r="AE132" s="6"/>
      <c r="AF132" s="6"/>
      <c r="AG132" s="6"/>
      <c r="AH132" s="6"/>
      <c r="AI132" s="6"/>
      <c r="AJ132" s="6"/>
      <c r="AK132" s="91"/>
    </row>
  </sheetData>
  <mergeCells count="3">
    <mergeCell ref="H4:L4"/>
    <mergeCell ref="N4:R4"/>
    <mergeCell ref="T4:X4"/>
  </mergeCells>
  <printOptions/>
  <pageMargins left="0.75" right="0.75" top="1" bottom="1"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2:X31"/>
  <sheetViews>
    <sheetView workbookViewId="0" topLeftCell="A1">
      <selection activeCell="A1" sqref="A1"/>
    </sheetView>
  </sheetViews>
  <sheetFormatPr defaultColWidth="11.421875" defaultRowHeight="12.75"/>
  <cols>
    <col min="1" max="1" width="2.7109375" style="2" customWidth="1"/>
    <col min="2" max="2" width="4.7109375" style="2" customWidth="1"/>
    <col min="3" max="16384" width="11.421875" style="2" customWidth="1"/>
  </cols>
  <sheetData>
    <row r="1" ht="18" customHeight="1"/>
    <row r="2" spans="2:24" ht="11.25">
      <c r="B2" s="3"/>
      <c r="C2" s="3" t="s">
        <v>126</v>
      </c>
      <c r="D2" s="3"/>
      <c r="E2" s="3"/>
      <c r="F2" s="3"/>
      <c r="G2" s="3"/>
      <c r="H2" s="3"/>
      <c r="I2" s="3"/>
      <c r="J2" s="3"/>
      <c r="K2" s="99"/>
      <c r="L2" s="99"/>
      <c r="M2" s="99"/>
      <c r="N2" s="99"/>
      <c r="O2" s="99"/>
      <c r="P2" s="99"/>
      <c r="Q2" s="99"/>
      <c r="R2" s="99"/>
      <c r="S2" s="99"/>
      <c r="T2" s="99"/>
      <c r="U2" s="99"/>
      <c r="V2" s="99"/>
      <c r="W2" s="99"/>
      <c r="X2" s="99"/>
    </row>
    <row r="4" spans="6:9" ht="11.25">
      <c r="F4" s="2" t="s">
        <v>130</v>
      </c>
      <c r="G4" s="2" t="s">
        <v>132</v>
      </c>
      <c r="I4" s="213" t="s">
        <v>131</v>
      </c>
    </row>
    <row r="5" spans="2:10" ht="11.25">
      <c r="B5" s="100" t="s">
        <v>127</v>
      </c>
      <c r="D5" s="100"/>
      <c r="F5" s="102">
        <f>'Hypothèses coûts'!D5</f>
        <v>0.1</v>
      </c>
      <c r="G5" s="2">
        <v>1</v>
      </c>
      <c r="H5" s="102"/>
      <c r="I5" s="104">
        <f>F5*G5</f>
        <v>0.1</v>
      </c>
      <c r="J5" s="100" t="s">
        <v>118</v>
      </c>
    </row>
    <row r="6" spans="2:10" ht="11.25">
      <c r="B6" s="100" t="s">
        <v>128</v>
      </c>
      <c r="D6" s="100"/>
      <c r="F6" s="102">
        <f>'Hypothèses coûts'!D5</f>
        <v>0.1</v>
      </c>
      <c r="G6" s="2">
        <v>2</v>
      </c>
      <c r="H6" s="102"/>
      <c r="I6" s="193">
        <f>F6*G6</f>
        <v>0.2</v>
      </c>
      <c r="J6" s="100" t="s">
        <v>118</v>
      </c>
    </row>
    <row r="7" spans="3:4" ht="11.25">
      <c r="C7" s="100"/>
      <c r="D7" s="100"/>
    </row>
    <row r="8" spans="2:9" ht="11.25">
      <c r="B8" s="100" t="s">
        <v>129</v>
      </c>
      <c r="D8" s="100"/>
      <c r="F8" s="2" t="s">
        <v>137</v>
      </c>
      <c r="I8" s="2" t="s">
        <v>136</v>
      </c>
    </row>
    <row r="9" spans="6:10" ht="11.25">
      <c r="F9" s="2" t="s">
        <v>30</v>
      </c>
      <c r="G9" s="105">
        <f>'Hypothèses coûts'!D11</f>
        <v>0.75</v>
      </c>
      <c r="I9" s="104">
        <f>SUMPRODUCT(G9:G10,I5:I6)</f>
        <v>0.125</v>
      </c>
      <c r="J9" s="100" t="s">
        <v>118</v>
      </c>
    </row>
    <row r="10" spans="6:7" ht="11.25">
      <c r="F10" s="2" t="s">
        <v>31</v>
      </c>
      <c r="G10" s="105">
        <f>'Hypothèses coûts'!D12</f>
        <v>0.25</v>
      </c>
    </row>
    <row r="12" spans="2:11" ht="11.25">
      <c r="B12" s="3"/>
      <c r="C12" s="3" t="s">
        <v>138</v>
      </c>
      <c r="D12" s="3"/>
      <c r="E12" s="3"/>
      <c r="F12" s="3"/>
      <c r="G12" s="3"/>
      <c r="H12" s="3"/>
      <c r="I12" s="3"/>
      <c r="J12" s="3"/>
      <c r="K12" s="99"/>
    </row>
    <row r="14" spans="6:9" ht="11.25">
      <c r="F14" s="2" t="s">
        <v>130</v>
      </c>
      <c r="G14" s="2" t="s">
        <v>139</v>
      </c>
      <c r="I14" s="2" t="s">
        <v>90</v>
      </c>
    </row>
    <row r="15" spans="2:10" ht="11.25">
      <c r="B15" s="100" t="s">
        <v>127</v>
      </c>
      <c r="D15" s="100"/>
      <c r="F15" s="102">
        <f>'Hypothèses coûts'!D8</f>
        <v>0.08</v>
      </c>
      <c r="G15" s="2">
        <f>2</f>
        <v>2</v>
      </c>
      <c r="H15" s="102"/>
      <c r="I15" s="104">
        <f>F15*G15</f>
        <v>0.16</v>
      </c>
      <c r="J15" s="100" t="s">
        <v>118</v>
      </c>
    </row>
    <row r="17" spans="2:4" ht="11.25">
      <c r="B17" s="100" t="s">
        <v>128</v>
      </c>
      <c r="D17" s="100"/>
    </row>
    <row r="18" spans="3:10" ht="11.25">
      <c r="C18" s="2" t="s">
        <v>268</v>
      </c>
      <c r="D18" s="100"/>
      <c r="I18" s="2">
        <f>'Hypothèses coûts'!D18</f>
        <v>0</v>
      </c>
      <c r="J18" s="2" t="s">
        <v>56</v>
      </c>
    </row>
    <row r="19" spans="3:10" ht="11.25">
      <c r="C19" s="2" t="s">
        <v>282</v>
      </c>
      <c r="D19" s="100"/>
      <c r="I19" s="2">
        <f>'Hypothèses coûts'!D19</f>
        <v>6800</v>
      </c>
      <c r="J19" s="2" t="s">
        <v>62</v>
      </c>
    </row>
    <row r="20" spans="3:10" ht="11.25">
      <c r="C20" s="2" t="s">
        <v>284</v>
      </c>
      <c r="D20" s="100"/>
      <c r="I20" s="2">
        <f>'Hypothèses coûts'!D20</f>
        <v>0</v>
      </c>
      <c r="J20" s="2" t="s">
        <v>62</v>
      </c>
    </row>
    <row r="21" spans="3:10" ht="11.25">
      <c r="C21" s="2" t="s">
        <v>285</v>
      </c>
      <c r="D21" s="100"/>
      <c r="I21" s="101">
        <f>I18/'Hypothèses coûts'!D16+12*(I19+I20)</f>
        <v>81600</v>
      </c>
      <c r="J21" s="2" t="s">
        <v>53</v>
      </c>
    </row>
    <row r="22" spans="3:9" ht="11.25">
      <c r="C22" s="2" t="s">
        <v>140</v>
      </c>
      <c r="I22" s="102">
        <f>'Hypothèses coûts'!D15</f>
        <v>63</v>
      </c>
    </row>
    <row r="23" spans="3:10" ht="11.25">
      <c r="C23" s="2" t="s">
        <v>141</v>
      </c>
      <c r="I23" s="106">
        <f>I21/I22</f>
        <v>1295.2380952380952</v>
      </c>
      <c r="J23" s="2" t="s">
        <v>53</v>
      </c>
    </row>
    <row r="24" spans="3:10" ht="11.25">
      <c r="C24" s="2" t="s">
        <v>142</v>
      </c>
      <c r="I24" s="103">
        <f>'Hypothèses coûts'!D17</f>
        <v>3.3</v>
      </c>
      <c r="J24" s="2" t="s">
        <v>92</v>
      </c>
    </row>
    <row r="25" spans="3:10" ht="11.25">
      <c r="C25" s="2" t="s">
        <v>143</v>
      </c>
      <c r="I25" s="174">
        <f>I23/(I24*1000000)</f>
        <v>0.0003924963924963925</v>
      </c>
      <c r="J25" s="2" t="s">
        <v>145</v>
      </c>
    </row>
    <row r="26" spans="3:10" ht="11.25">
      <c r="C26" s="2" t="s">
        <v>144</v>
      </c>
      <c r="I26" s="107">
        <f>I25*100</f>
        <v>0.03924963924963925</v>
      </c>
      <c r="J26" s="100" t="s">
        <v>118</v>
      </c>
    </row>
    <row r="27" spans="3:10" ht="11.25">
      <c r="C27" s="2" t="s">
        <v>246</v>
      </c>
      <c r="I27" s="107">
        <f>I26+I15</f>
        <v>0.19924963924963926</v>
      </c>
      <c r="J27" s="100" t="s">
        <v>118</v>
      </c>
    </row>
    <row r="28" spans="9:10" ht="11.25">
      <c r="I28" s="107"/>
      <c r="J28" s="100"/>
    </row>
    <row r="29" spans="2:6" ht="11.25">
      <c r="B29" s="100" t="s">
        <v>129</v>
      </c>
      <c r="D29" s="100"/>
      <c r="F29" s="2" t="s">
        <v>137</v>
      </c>
    </row>
    <row r="30" spans="6:9" ht="11.25">
      <c r="F30" s="2" t="s">
        <v>30</v>
      </c>
      <c r="G30" s="105">
        <f>'Hypothèses coûts'!D11</f>
        <v>0.75</v>
      </c>
      <c r="I30" s="2" t="s">
        <v>136</v>
      </c>
    </row>
    <row r="31" spans="6:10" ht="11.25">
      <c r="F31" s="2" t="s">
        <v>31</v>
      </c>
      <c r="G31" s="105">
        <f>'Hypothèses coûts'!D12</f>
        <v>0.25</v>
      </c>
      <c r="I31" s="107">
        <f>G30*I15+G31*I27</f>
        <v>0.1698124098124098</v>
      </c>
      <c r="J31" s="100" t="s">
        <v>118</v>
      </c>
    </row>
  </sheetData>
  <printOptions/>
  <pageMargins left="0.75" right="0.75" top="1" bottom="1"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AK74"/>
  <sheetViews>
    <sheetView workbookViewId="0" topLeftCell="A1">
      <selection activeCell="A1" sqref="A1"/>
    </sheetView>
  </sheetViews>
  <sheetFormatPr defaultColWidth="11.421875" defaultRowHeight="12.75"/>
  <cols>
    <col min="1" max="1" width="2.7109375" style="1" customWidth="1"/>
    <col min="2" max="2" width="4.7109375" style="1" customWidth="1"/>
    <col min="3" max="3" width="15.140625" style="1" customWidth="1"/>
    <col min="4" max="4" width="11.421875" style="1" customWidth="1"/>
    <col min="5" max="5" width="11.140625" style="1" customWidth="1"/>
    <col min="6" max="6" width="14.140625" style="1" customWidth="1"/>
    <col min="7" max="7" width="11.421875" style="1" customWidth="1"/>
    <col min="8" max="8" width="11.00390625" style="1" customWidth="1"/>
    <col min="9" max="9" width="6.7109375" style="1" customWidth="1"/>
    <col min="10" max="10" width="2.7109375" style="1" customWidth="1"/>
    <col min="11" max="12" width="6.7109375" style="1" customWidth="1"/>
    <col min="13" max="13" width="2.7109375" style="1" customWidth="1"/>
    <col min="14" max="15" width="6.7109375" style="1" customWidth="1"/>
    <col min="16" max="16" width="2.7109375" style="1" customWidth="1"/>
    <col min="17" max="18" width="6.7109375" style="1" customWidth="1"/>
    <col min="19" max="19" width="2.7109375" style="1" customWidth="1"/>
    <col min="20" max="21" width="6.7109375" style="1" customWidth="1"/>
    <col min="22" max="22" width="2.7109375" style="1" customWidth="1"/>
    <col min="23" max="24" width="6.7109375" style="1" customWidth="1"/>
    <col min="25" max="16384" width="11.421875" style="1" customWidth="1"/>
  </cols>
  <sheetData>
    <row r="1" spans="3:37" ht="18" customHeight="1">
      <c r="C1" s="6"/>
      <c r="D1" s="6"/>
      <c r="E1" s="6"/>
      <c r="F1" s="6"/>
      <c r="G1" s="6"/>
      <c r="H1" s="6"/>
      <c r="I1" s="91"/>
      <c r="J1" s="6"/>
      <c r="K1" s="6"/>
      <c r="L1" s="6"/>
      <c r="M1" s="6"/>
      <c r="N1" s="6"/>
      <c r="O1" s="91"/>
      <c r="P1" s="6"/>
      <c r="Q1" s="6"/>
      <c r="R1" s="6"/>
      <c r="S1" s="6"/>
      <c r="T1" s="6"/>
      <c r="U1" s="91"/>
      <c r="V1" s="6"/>
      <c r="W1" s="6"/>
      <c r="X1" s="6"/>
      <c r="Y1" s="6"/>
      <c r="Z1" s="6"/>
      <c r="AA1" s="6"/>
      <c r="AB1" s="6"/>
      <c r="AC1" s="91"/>
      <c r="AD1" s="6"/>
      <c r="AE1" s="6"/>
      <c r="AF1" s="6"/>
      <c r="AG1" s="6"/>
      <c r="AH1" s="91"/>
      <c r="AI1" s="6"/>
      <c r="AJ1" s="6"/>
      <c r="AK1" s="6"/>
    </row>
    <row r="2" spans="2:31" ht="12.75">
      <c r="B2" s="3"/>
      <c r="C2" s="3" t="s">
        <v>214</v>
      </c>
      <c r="D2" s="3"/>
      <c r="E2" s="3"/>
      <c r="F2" s="3"/>
      <c r="G2" s="3"/>
      <c r="H2" s="3"/>
      <c r="I2" s="3"/>
      <c r="J2" s="3"/>
      <c r="K2" s="3"/>
      <c r="L2" s="3"/>
      <c r="M2" s="3"/>
      <c r="N2" s="3"/>
      <c r="O2" s="3"/>
      <c r="P2" s="3"/>
      <c r="Q2" s="3"/>
      <c r="R2" s="3"/>
      <c r="S2" s="6"/>
      <c r="T2" s="6"/>
      <c r="U2" s="6"/>
      <c r="V2" s="6"/>
      <c r="W2" s="91"/>
      <c r="X2" s="6"/>
      <c r="Y2" s="6"/>
      <c r="Z2" s="6"/>
      <c r="AA2" s="6"/>
      <c r="AB2" s="91"/>
      <c r="AC2" s="6"/>
      <c r="AD2" s="6"/>
      <c r="AE2" s="6"/>
    </row>
    <row r="3" spans="2:31" ht="12.75">
      <c r="B3" s="6"/>
      <c r="C3" s="29"/>
      <c r="D3" s="6"/>
      <c r="E3" s="6"/>
      <c r="F3" s="6"/>
      <c r="G3" s="90"/>
      <c r="H3" s="6"/>
      <c r="I3" s="6"/>
      <c r="J3" s="6"/>
      <c r="K3" s="6"/>
      <c r="L3" s="6"/>
      <c r="M3" s="6"/>
      <c r="N3" s="6"/>
      <c r="O3" s="6"/>
      <c r="P3" s="6"/>
      <c r="Q3" s="6"/>
      <c r="R3" s="6"/>
      <c r="S3" s="6"/>
      <c r="T3" s="6"/>
      <c r="U3" s="6"/>
      <c r="V3" s="6"/>
      <c r="W3" s="91"/>
      <c r="X3" s="6"/>
      <c r="Y3" s="6"/>
      <c r="Z3" s="6"/>
      <c r="AA3" s="6"/>
      <c r="AB3" s="91"/>
      <c r="AC3" s="6"/>
      <c r="AD3" s="6"/>
      <c r="AE3" s="6"/>
    </row>
    <row r="4" spans="2:31" ht="12.75">
      <c r="B4" s="6"/>
      <c r="C4" s="29"/>
      <c r="D4" s="6"/>
      <c r="E4" s="6"/>
      <c r="F4" s="6"/>
      <c r="G4" s="90"/>
      <c r="H4" s="331" t="s">
        <v>30</v>
      </c>
      <c r="I4" s="335"/>
      <c r="J4" s="335"/>
      <c r="K4" s="335"/>
      <c r="L4" s="336"/>
      <c r="N4" s="331" t="s">
        <v>31</v>
      </c>
      <c r="O4" s="335"/>
      <c r="P4" s="335"/>
      <c r="Q4" s="335"/>
      <c r="R4" s="336"/>
      <c r="S4" s="6"/>
      <c r="T4" s="6"/>
      <c r="U4" s="6"/>
      <c r="V4" s="6"/>
      <c r="W4" s="91"/>
      <c r="X4" s="6"/>
      <c r="Y4" s="6"/>
      <c r="Z4" s="6"/>
      <c r="AA4" s="6"/>
      <c r="AB4" s="91"/>
      <c r="AC4" s="6"/>
      <c r="AD4" s="6"/>
      <c r="AE4" s="6"/>
    </row>
    <row r="5" spans="2:31" ht="12.75">
      <c r="B5" s="6"/>
      <c r="C5" s="29"/>
      <c r="D5" s="6"/>
      <c r="E5" s="6"/>
      <c r="F5" s="6"/>
      <c r="G5" s="90"/>
      <c r="H5" s="6" t="s">
        <v>114</v>
      </c>
      <c r="I5" s="6"/>
      <c r="J5" s="6"/>
      <c r="K5" s="6" t="s">
        <v>117</v>
      </c>
      <c r="L5" s="6"/>
      <c r="M5" s="6"/>
      <c r="N5" s="6" t="s">
        <v>114</v>
      </c>
      <c r="O5" s="6"/>
      <c r="P5" s="6"/>
      <c r="Q5" s="6" t="s">
        <v>117</v>
      </c>
      <c r="R5" s="6"/>
      <c r="S5" s="6"/>
      <c r="T5" s="6"/>
      <c r="U5" s="6"/>
      <c r="V5" s="6"/>
      <c r="W5" s="91"/>
      <c r="X5" s="6"/>
      <c r="Y5" s="6"/>
      <c r="Z5" s="6"/>
      <c r="AA5" s="6"/>
      <c r="AB5" s="91"/>
      <c r="AC5" s="6"/>
      <c r="AD5" s="6"/>
      <c r="AE5" s="6"/>
    </row>
    <row r="6" spans="2:31" ht="12.75">
      <c r="B6" s="6"/>
      <c r="C6" s="29"/>
      <c r="D6" s="29"/>
      <c r="E6" s="29"/>
      <c r="F6" s="22" t="s">
        <v>20</v>
      </c>
      <c r="G6" s="6"/>
      <c r="H6" s="318">
        <f>'Profils d''appel'!K12*'Profils d''appel'!D11</f>
        <v>0.53</v>
      </c>
      <c r="I6" s="319">
        <f>'Profils d''appel'!E11</f>
        <v>200</v>
      </c>
      <c r="J6" s="320"/>
      <c r="K6" s="318">
        <f>'Profils d''appel'!K17*'Profils d''appel'!D16</f>
        <v>0.784</v>
      </c>
      <c r="L6" s="319">
        <f>'Profils d''appel'!E16</f>
        <v>140</v>
      </c>
      <c r="M6" s="320"/>
      <c r="N6" s="318">
        <f>'Profils d''appel'!K25*'Profils d''appel'!D23</f>
        <v>0.3</v>
      </c>
      <c r="O6" s="319">
        <f>'Profils d''appel'!E23</f>
        <v>350</v>
      </c>
      <c r="P6" s="320"/>
      <c r="Q6" s="318">
        <f>'Profils d''appel'!K29*'Profils d''appel'!D28</f>
        <v>0.776</v>
      </c>
      <c r="R6" s="319">
        <f>'Profils d''appel'!E28</f>
        <v>175</v>
      </c>
      <c r="S6" s="6"/>
      <c r="T6" s="6"/>
      <c r="U6" s="6"/>
      <c r="V6" s="6"/>
      <c r="W6" s="91"/>
      <c r="X6" s="6"/>
      <c r="Y6" s="6"/>
      <c r="Z6" s="6"/>
      <c r="AA6" s="6"/>
      <c r="AB6" s="91"/>
      <c r="AC6" s="6"/>
      <c r="AD6" s="6"/>
      <c r="AE6" s="6"/>
    </row>
    <row r="7" spans="2:31" ht="12.75">
      <c r="B7" s="6"/>
      <c r="C7" s="29"/>
      <c r="D7" s="29"/>
      <c r="E7" s="29"/>
      <c r="F7" s="24" t="s">
        <v>22</v>
      </c>
      <c r="G7" s="6"/>
      <c r="H7" s="321">
        <f>'Profils d''appel'!L12*'Profils d''appel'!D12</f>
        <v>0.44649999999999995</v>
      </c>
      <c r="I7" s="322">
        <f>'Profils d''appel'!E12</f>
        <v>250</v>
      </c>
      <c r="J7" s="320"/>
      <c r="K7" s="321">
        <f>'Profils d''appel'!L17*'Profils d''appel'!D16</f>
        <v>0.19599999999999995</v>
      </c>
      <c r="L7" s="322">
        <f>'Profils d''appel'!E16</f>
        <v>140</v>
      </c>
      <c r="M7" s="320"/>
      <c r="N7" s="321">
        <f>'Profils d''appel'!L25*'Profils d''appel'!D24</f>
        <v>0.6649999999999999</v>
      </c>
      <c r="O7" s="322">
        <f>'Profils d''appel'!E24</f>
        <v>500</v>
      </c>
      <c r="P7" s="320"/>
      <c r="Q7" s="321">
        <f>'Profils d''appel'!L29*'Profils d''appel'!D28</f>
        <v>0.19399999999999995</v>
      </c>
      <c r="R7" s="322">
        <f>'Profils d''appel'!E28</f>
        <v>175</v>
      </c>
      <c r="S7" s="6"/>
      <c r="T7" s="6"/>
      <c r="U7" s="6"/>
      <c r="V7" s="6"/>
      <c r="W7" s="91"/>
      <c r="X7" s="6"/>
      <c r="Y7" s="6"/>
      <c r="Z7" s="6"/>
      <c r="AA7" s="6"/>
      <c r="AB7" s="91"/>
      <c r="AC7" s="6"/>
      <c r="AD7" s="6"/>
      <c r="AE7" s="6"/>
    </row>
    <row r="8" spans="2:31" ht="12.75">
      <c r="B8" s="6"/>
      <c r="C8" s="29"/>
      <c r="D8" s="29"/>
      <c r="E8" s="29"/>
      <c r="F8" s="24" t="s">
        <v>23</v>
      </c>
      <c r="G8" s="6"/>
      <c r="H8" s="321">
        <f>'Profils d''appel'!M12*'Profils d''appel'!D12</f>
        <v>0.02350000000000002</v>
      </c>
      <c r="I8" s="322">
        <f>'Profils d''appel'!E12</f>
        <v>250</v>
      </c>
      <c r="J8" s="320"/>
      <c r="K8" s="321">
        <f>'Profils d''appel'!M17*'Profils d''appel'!D17</f>
        <v>0.020000000000000018</v>
      </c>
      <c r="L8" s="322">
        <f>'Profils d''appel'!E17</f>
        <v>170</v>
      </c>
      <c r="M8" s="320"/>
      <c r="N8" s="321">
        <f>'Profils d''appel'!M25*'Profils d''appel'!D24</f>
        <v>0.03500000000000003</v>
      </c>
      <c r="O8" s="322">
        <f>'Profils d''appel'!E24</f>
        <v>500</v>
      </c>
      <c r="P8" s="320"/>
      <c r="Q8" s="321">
        <f>'Profils d''appel'!M29*'Profils d''appel'!D29</f>
        <v>0.030000000000000027</v>
      </c>
      <c r="R8" s="322">
        <f>'Profils d''appel'!E29</f>
        <v>210</v>
      </c>
      <c r="S8" s="6"/>
      <c r="T8" s="6"/>
      <c r="U8" s="6"/>
      <c r="V8" s="6"/>
      <c r="W8" s="91"/>
      <c r="X8" s="6"/>
      <c r="Y8" s="6"/>
      <c r="Z8" s="6"/>
      <c r="AA8" s="6"/>
      <c r="AB8" s="91"/>
      <c r="AC8" s="6"/>
      <c r="AD8" s="6"/>
      <c r="AE8" s="6"/>
    </row>
    <row r="9" spans="2:31" ht="12.75">
      <c r="B9" s="6"/>
      <c r="C9" s="29"/>
      <c r="D9" s="29"/>
      <c r="E9" s="29"/>
      <c r="F9" s="25" t="s">
        <v>15</v>
      </c>
      <c r="G9" s="6"/>
      <c r="H9" s="323">
        <f>SUM(H6:H8)</f>
        <v>1</v>
      </c>
      <c r="I9" s="324">
        <f>1/(H6/I6+H7/I7+H8/I8)</f>
        <v>220.7505518763797</v>
      </c>
      <c r="J9" s="320"/>
      <c r="K9" s="323">
        <f>SUM(K6:K8)</f>
        <v>1</v>
      </c>
      <c r="L9" s="324">
        <f>1/(K6/L6+K7/L7+K8/L8)</f>
        <v>140.49586776859505</v>
      </c>
      <c r="M9" s="320"/>
      <c r="N9" s="323">
        <f>SUM(N6:N8)</f>
        <v>0.9999999999999999</v>
      </c>
      <c r="O9" s="324">
        <f>1/(N6/O6+N7/O7+N8/O8)</f>
        <v>443.0379746835443</v>
      </c>
      <c r="P9" s="320"/>
      <c r="Q9" s="323">
        <f>SUM(Q6:Q8)</f>
        <v>1</v>
      </c>
      <c r="R9" s="324">
        <f>1/(Q6/R6+Q7/R7+Q8/R8)</f>
        <v>175.8793969849246</v>
      </c>
      <c r="S9" s="6"/>
      <c r="T9" s="6"/>
      <c r="U9" s="6"/>
      <c r="V9" s="6"/>
      <c r="W9" s="91"/>
      <c r="X9" s="6"/>
      <c r="Y9" s="6"/>
      <c r="Z9" s="6"/>
      <c r="AA9" s="6"/>
      <c r="AB9" s="91"/>
      <c r="AC9" s="6"/>
      <c r="AD9" s="6"/>
      <c r="AE9" s="6"/>
    </row>
    <row r="10" spans="2:31" ht="12.75">
      <c r="B10" s="21" t="s">
        <v>63</v>
      </c>
      <c r="C10" s="29"/>
      <c r="D10" s="6"/>
      <c r="E10" s="6"/>
      <c r="F10" s="6"/>
      <c r="G10" s="90"/>
      <c r="H10" s="6"/>
      <c r="I10" s="6"/>
      <c r="J10" s="6"/>
      <c r="K10" s="6"/>
      <c r="L10" s="6"/>
      <c r="M10" s="6"/>
      <c r="N10" s="6"/>
      <c r="O10" s="6"/>
      <c r="P10" s="6"/>
      <c r="Q10" s="6"/>
      <c r="R10" s="6"/>
      <c r="S10" s="6"/>
      <c r="T10" s="6"/>
      <c r="U10" s="6"/>
      <c r="V10" s="6"/>
      <c r="W10" s="91"/>
      <c r="X10" s="6"/>
      <c r="Y10" s="6"/>
      <c r="Z10" s="6"/>
      <c r="AA10" s="6"/>
      <c r="AB10" s="91"/>
      <c r="AC10" s="6"/>
      <c r="AD10" s="6"/>
      <c r="AE10" s="6"/>
    </row>
    <row r="11" spans="2:31" ht="12.75">
      <c r="B11" s="6"/>
      <c r="C11" s="29" t="s">
        <v>215</v>
      </c>
      <c r="D11" s="6"/>
      <c r="E11" s="6"/>
      <c r="F11" s="6" t="s">
        <v>44</v>
      </c>
      <c r="G11" s="6" t="s">
        <v>106</v>
      </c>
      <c r="H11" s="6"/>
      <c r="I11" s="88">
        <f>(H6*CACAAHP/(I6/60)+H7*CACAAHC/(I7/60)+H8*CACAAHBN/(I8/60))*100</f>
        <v>0.026225040000000005</v>
      </c>
      <c r="J11" s="6"/>
      <c r="K11" s="6"/>
      <c r="L11" s="88">
        <f>(K6*CACAAHP/(L6/60)+K7*CACAAHC/(L7/60)+K8*CACAAHBN/(L8/60))*100</f>
        <v>0.04478188235294117</v>
      </c>
      <c r="M11" s="6"/>
      <c r="N11" s="6"/>
      <c r="O11" s="88">
        <f>(N6*CACAAHP/(O6/60)+N7*CACAAHC/(O7/60)+N8*CACAAHBN/(O8/60))*100</f>
        <v>0.01189405714285714</v>
      </c>
      <c r="P11" s="6"/>
      <c r="Q11" s="6"/>
      <c r="R11" s="88">
        <f>(Q6*CACAAHP/(R6/60)+Q7*CACAAHC/(R7/60)+Q8*CACAAHBN/(R8/60))*100</f>
        <v>0.03560605714285714</v>
      </c>
      <c r="S11" s="6"/>
      <c r="T11" s="6"/>
      <c r="U11" s="6"/>
      <c r="V11" s="6"/>
      <c r="W11" s="91"/>
      <c r="X11" s="6"/>
      <c r="Y11" s="6"/>
      <c r="Z11" s="6"/>
      <c r="AA11" s="6"/>
      <c r="AB11" s="91"/>
      <c r="AC11" s="6"/>
      <c r="AD11" s="6"/>
      <c r="AE11" s="6"/>
    </row>
    <row r="12" spans="2:31" ht="12.75">
      <c r="B12" s="6"/>
      <c r="C12" s="6" t="s">
        <v>215</v>
      </c>
      <c r="D12" s="6"/>
      <c r="E12" s="6"/>
      <c r="F12" s="6" t="s">
        <v>51</v>
      </c>
      <c r="G12" s="6" t="s">
        <v>106</v>
      </c>
      <c r="H12" s="6"/>
      <c r="I12" s="88">
        <f>(H6*CAPROHP/(I6/60)+H7*CAPROHC/(I7/60)+H8*CAPROHBN/(I8/60))*100</f>
        <v>0.08243171999999999</v>
      </c>
      <c r="J12" s="6"/>
      <c r="K12" s="6"/>
      <c r="L12" s="88">
        <f>(K6*CAPROHP/(L6/60)+K7*CAPROHC/(L7/60)+K8*CAPROHBN/(L8/60))*100</f>
        <v>0.14068799999999998</v>
      </c>
      <c r="M12" s="6"/>
      <c r="N12" s="6"/>
      <c r="O12" s="88">
        <f>(N6*CAPROHP/(O6/60)+N7*CAPROHC/(O7/60)+N8*CAPROHBN/(O8/60))*100</f>
        <v>0.037408028571428574</v>
      </c>
      <c r="P12" s="6"/>
      <c r="Q12" s="6"/>
      <c r="R12" s="88">
        <f>(Q6*CAPROHP/(R6/60)+Q7*CAPROHC/(R7/60)+Q8*CAPROHBN/(R8/60))*100</f>
        <v>0.11185817142857146</v>
      </c>
      <c r="S12" s="6"/>
      <c r="T12" s="6"/>
      <c r="U12" s="6"/>
      <c r="V12" s="6"/>
      <c r="W12" s="91"/>
      <c r="X12" s="6"/>
      <c r="Y12" s="6"/>
      <c r="Z12" s="6"/>
      <c r="AA12" s="6"/>
      <c r="AB12" s="91"/>
      <c r="AC12" s="6"/>
      <c r="AD12" s="6"/>
      <c r="AE12" s="6"/>
    </row>
    <row r="13" spans="2:31" ht="12.75">
      <c r="B13" s="6"/>
      <c r="C13" s="6" t="s">
        <v>215</v>
      </c>
      <c r="D13" s="6"/>
      <c r="E13" s="6"/>
      <c r="F13" s="6" t="s">
        <v>107</v>
      </c>
      <c r="G13" s="6" t="s">
        <v>106</v>
      </c>
      <c r="H13" s="6"/>
      <c r="I13" s="95">
        <f>I11*REPCAA+I12*REPPRO</f>
        <v>0.037466375999999996</v>
      </c>
      <c r="J13" s="6"/>
      <c r="K13" s="6"/>
      <c r="L13" s="95">
        <f>L11*REPCAA+L12*REPPRO</f>
        <v>0.06396310588235293</v>
      </c>
      <c r="M13" s="6"/>
      <c r="N13" s="6"/>
      <c r="O13" s="95">
        <f>O11*REPCAA+O12*REPPRO</f>
        <v>0.016996851428571425</v>
      </c>
      <c r="P13" s="6"/>
      <c r="Q13" s="6"/>
      <c r="R13" s="95">
        <f>R11*REPCAA+R12*REPPRO</f>
        <v>0.050856479999999996</v>
      </c>
      <c r="S13" s="6"/>
      <c r="T13" s="6"/>
      <c r="U13" s="6"/>
      <c r="V13" s="6"/>
      <c r="W13" s="91"/>
      <c r="X13" s="6"/>
      <c r="Y13" s="6"/>
      <c r="Z13" s="6"/>
      <c r="AA13" s="6"/>
      <c r="AB13" s="91"/>
      <c r="AC13" s="6"/>
      <c r="AD13" s="6"/>
      <c r="AE13" s="6"/>
    </row>
    <row r="14" spans="2:31" ht="12.75">
      <c r="B14" s="6"/>
      <c r="C14" s="6" t="s">
        <v>216</v>
      </c>
      <c r="D14" s="6"/>
      <c r="E14" s="6"/>
      <c r="F14" s="6" t="s">
        <v>107</v>
      </c>
      <c r="G14" s="6" t="s">
        <v>106</v>
      </c>
      <c r="H14" s="6"/>
      <c r="I14" s="95">
        <f>I13</f>
        <v>0.037466375999999996</v>
      </c>
      <c r="J14" s="6"/>
      <c r="K14" s="6"/>
      <c r="L14" s="95">
        <f>L13</f>
        <v>0.06396310588235293</v>
      </c>
      <c r="M14" s="6"/>
      <c r="N14" s="6"/>
      <c r="O14" s="95">
        <f>O13</f>
        <v>0.016996851428571425</v>
      </c>
      <c r="P14" s="6"/>
      <c r="Q14" s="6"/>
      <c r="R14" s="95">
        <f>R13</f>
        <v>0.050856479999999996</v>
      </c>
      <c r="S14" s="6"/>
      <c r="T14" s="6"/>
      <c r="U14" s="6"/>
      <c r="V14" s="6"/>
      <c r="W14" s="91"/>
      <c r="X14" s="6"/>
      <c r="Y14" s="6"/>
      <c r="Z14" s="6"/>
      <c r="AA14" s="6"/>
      <c r="AB14" s="91"/>
      <c r="AC14" s="6"/>
      <c r="AD14" s="6"/>
      <c r="AE14" s="6"/>
    </row>
    <row r="15" spans="2:31" ht="12.75">
      <c r="B15" s="6"/>
      <c r="C15" s="6" t="s">
        <v>217</v>
      </c>
      <c r="D15" s="6"/>
      <c r="E15" s="6"/>
      <c r="F15" s="6" t="s">
        <v>44</v>
      </c>
      <c r="G15" s="6" t="s">
        <v>106</v>
      </c>
      <c r="H15" s="6"/>
      <c r="I15" s="88">
        <f>(PVCAAHP*H6+PVCAAHC*H7+PVCAAHBN*H8)*100</f>
        <v>0.4107655</v>
      </c>
      <c r="J15" s="6"/>
      <c r="K15" s="6"/>
      <c r="L15" s="88">
        <f>(PVCAAHP*K6+PVCAAHC*K7+PVCAAHBN*K8)*100</f>
        <v>0.455844</v>
      </c>
      <c r="M15" s="6"/>
      <c r="N15" s="6"/>
      <c r="O15" s="88">
        <f>(PVCAAHP*N6+PVCAAHC*N7+PVCAAHBN*N8)*100</f>
        <v>0.36905499999999997</v>
      </c>
      <c r="P15" s="6"/>
      <c r="Q15" s="6"/>
      <c r="R15" s="88">
        <f>(PVCAAHP*Q6+PVCAAHC*Q7+PVCAAHBN*Q8)*100</f>
        <v>0.453366</v>
      </c>
      <c r="S15" s="6"/>
      <c r="T15" s="6"/>
      <c r="U15" s="6"/>
      <c r="V15" s="6"/>
      <c r="W15" s="91"/>
      <c r="X15" s="6"/>
      <c r="Y15" s="6"/>
      <c r="Z15" s="6"/>
      <c r="AA15" s="6"/>
      <c r="AB15" s="91"/>
      <c r="AC15" s="6"/>
      <c r="AD15" s="6"/>
      <c r="AE15" s="6"/>
    </row>
    <row r="16" spans="2:31" ht="12.75">
      <c r="B16" s="6"/>
      <c r="C16" s="6" t="s">
        <v>217</v>
      </c>
      <c r="D16" s="6"/>
      <c r="E16" s="6"/>
      <c r="F16" s="6" t="s">
        <v>51</v>
      </c>
      <c r="G16" s="6" t="s">
        <v>106</v>
      </c>
      <c r="H16" s="6"/>
      <c r="I16" s="88">
        <f>(PVPROHP*H6+PVPROHC*H7+PVPROHBN*H8)*100</f>
        <v>0.730955</v>
      </c>
      <c r="J16" s="6"/>
      <c r="K16" s="6"/>
      <c r="L16" s="88">
        <f>(PVPROHP*K6+PVPROHC*K7+PVPROHBN*K8)*100</f>
        <v>0.811376</v>
      </c>
      <c r="M16" s="6"/>
      <c r="N16" s="6"/>
      <c r="O16" s="88">
        <f>(PVPROHP*N6+PVPROHC*N7+PVPROHBN*N8)*100</f>
        <v>0.6565499999999999</v>
      </c>
      <c r="P16" s="6"/>
      <c r="Q16" s="6"/>
      <c r="R16" s="88">
        <f>(PVPROHP*Q6+PVPROHC*Q7+PVPROHBN*Q8)*100</f>
        <v>0.8069639999999999</v>
      </c>
      <c r="S16" s="6"/>
      <c r="T16" s="6"/>
      <c r="U16" s="6"/>
      <c r="V16" s="6"/>
      <c r="W16" s="91"/>
      <c r="X16" s="6"/>
      <c r="Y16" s="6"/>
      <c r="Z16" s="6"/>
      <c r="AA16" s="6"/>
      <c r="AB16" s="91"/>
      <c r="AC16" s="6"/>
      <c r="AD16" s="6"/>
      <c r="AE16" s="6"/>
    </row>
    <row r="17" spans="2:31" ht="12.75">
      <c r="B17" s="6"/>
      <c r="C17" s="6" t="s">
        <v>217</v>
      </c>
      <c r="D17" s="6"/>
      <c r="E17" s="6"/>
      <c r="F17" s="6" t="s">
        <v>107</v>
      </c>
      <c r="G17" s="6" t="s">
        <v>106</v>
      </c>
      <c r="H17" s="6"/>
      <c r="I17" s="95">
        <f>I15*REPCAA+I16*REPPRO</f>
        <v>0.4748034</v>
      </c>
      <c r="J17" s="6"/>
      <c r="K17" s="6"/>
      <c r="L17" s="95">
        <f>L15*REPCAA+L16*REPPRO</f>
        <v>0.5269504</v>
      </c>
      <c r="M17" s="6"/>
      <c r="N17" s="6"/>
      <c r="O17" s="95">
        <f>O15*REPCAA+O16*REPPRO</f>
        <v>0.426554</v>
      </c>
      <c r="P17" s="6"/>
      <c r="Q17" s="6"/>
      <c r="R17" s="95">
        <f>R15*REPCAA+R16*REPPRO</f>
        <v>0.5240856</v>
      </c>
      <c r="S17" s="6"/>
      <c r="T17" s="6"/>
      <c r="U17" s="6"/>
      <c r="V17" s="6"/>
      <c r="W17" s="91"/>
      <c r="X17" s="6"/>
      <c r="Y17" s="6"/>
      <c r="Z17" s="6"/>
      <c r="AA17" s="6"/>
      <c r="AB17" s="91"/>
      <c r="AC17" s="6"/>
      <c r="AD17" s="6"/>
      <c r="AE17" s="6"/>
    </row>
    <row r="18" spans="2:31" ht="12.75">
      <c r="B18" s="6"/>
      <c r="C18" s="6" t="s">
        <v>218</v>
      </c>
      <c r="D18" s="6"/>
      <c r="E18" s="6"/>
      <c r="F18" s="6" t="s">
        <v>107</v>
      </c>
      <c r="G18" s="6" t="s">
        <v>106</v>
      </c>
      <c r="H18" s="6"/>
      <c r="I18" s="95">
        <f>I17*'Hypothèses coûts'!$D41+(1-'Hypothèses coûts'!$D41)*'Hypothèses coûts'!$D42+'Hypothèses coûts'!$D43*'Hypothèses coûts'!$D44</f>
        <v>0.52106323</v>
      </c>
      <c r="J18" s="6"/>
      <c r="K18" s="6"/>
      <c r="L18" s="95">
        <f>L17*'Hypothèses coûts'!$D41+(1-'Hypothèses coûts'!$D41)*'Hypothèses coûts'!$D42+'Hypothèses coûts'!$D43*'Hypothèses coûts'!$D44</f>
        <v>0.57060288</v>
      </c>
      <c r="M18" s="6"/>
      <c r="N18" s="6"/>
      <c r="O18" s="95">
        <f>O17*'Hypothèses coûts'!$D41+(1-'Hypothèses coûts'!$D41)*'Hypothèses coûts'!$D42+'Hypothèses coûts'!$D43*'Hypothèses coûts'!$D44</f>
        <v>0.47522630000000005</v>
      </c>
      <c r="P18" s="6"/>
      <c r="Q18" s="6"/>
      <c r="R18" s="95">
        <f>R17*'Hypothèses coûts'!$D41+(1-'Hypothèses coûts'!$D41)*'Hypothèses coûts'!$D42+'Hypothèses coûts'!$D43*'Hypothèses coûts'!$D44</f>
        <v>0.5678813200000001</v>
      </c>
      <c r="S18" s="6"/>
      <c r="T18" s="6"/>
      <c r="U18" s="6"/>
      <c r="V18" s="6"/>
      <c r="W18" s="91"/>
      <c r="X18" s="6"/>
      <c r="Y18" s="6"/>
      <c r="Z18" s="6"/>
      <c r="AA18" s="6"/>
      <c r="AB18" s="91"/>
      <c r="AC18" s="6"/>
      <c r="AD18" s="6"/>
      <c r="AE18" s="6"/>
    </row>
    <row r="19" spans="2:37" ht="12.75">
      <c r="B19" s="6"/>
      <c r="C19" s="6"/>
      <c r="D19" s="6"/>
      <c r="E19" s="6"/>
      <c r="F19" s="6"/>
      <c r="G19" s="6"/>
      <c r="H19" s="6"/>
      <c r="I19" s="91"/>
      <c r="J19" s="6"/>
      <c r="K19" s="6"/>
      <c r="L19" s="6"/>
      <c r="M19" s="6"/>
      <c r="N19" s="6"/>
      <c r="O19" s="91"/>
      <c r="P19" s="6"/>
      <c r="Q19" s="6"/>
      <c r="R19" s="6"/>
      <c r="S19" s="6"/>
      <c r="T19" s="6"/>
      <c r="U19" s="91"/>
      <c r="V19" s="6"/>
      <c r="W19" s="6"/>
      <c r="X19" s="6"/>
      <c r="Y19" s="6"/>
      <c r="Z19" s="6"/>
      <c r="AA19" s="6"/>
      <c r="AB19" s="6"/>
      <c r="AC19" s="91"/>
      <c r="AD19" s="6"/>
      <c r="AE19" s="6"/>
      <c r="AF19" s="6"/>
      <c r="AG19" s="6"/>
      <c r="AH19" s="91"/>
      <c r="AI19" s="6"/>
      <c r="AJ19" s="6"/>
      <c r="AK19" s="6"/>
    </row>
    <row r="20" spans="2:37" ht="12.75">
      <c r="B20" s="21" t="s">
        <v>286</v>
      </c>
      <c r="C20" s="6"/>
      <c r="D20" s="6"/>
      <c r="E20" s="6"/>
      <c r="F20" s="6"/>
      <c r="G20" s="82"/>
      <c r="H20" s="6"/>
      <c r="I20" s="91"/>
      <c r="J20" s="6"/>
      <c r="K20" s="6"/>
      <c r="L20" s="6"/>
      <c r="M20" s="6"/>
      <c r="N20" s="6"/>
      <c r="O20" s="91"/>
      <c r="P20" s="6"/>
      <c r="Q20" s="6"/>
      <c r="R20" s="6"/>
      <c r="S20" s="6"/>
      <c r="T20" s="6"/>
      <c r="U20" s="91"/>
      <c r="V20" s="6"/>
      <c r="W20" s="6"/>
      <c r="X20" s="6"/>
      <c r="Y20" s="6"/>
      <c r="Z20" s="6"/>
      <c r="AA20" s="6"/>
      <c r="AB20" s="6"/>
      <c r="AC20" s="91"/>
      <c r="AD20" s="6"/>
      <c r="AE20" s="6"/>
      <c r="AF20" s="6"/>
      <c r="AG20" s="6"/>
      <c r="AH20" s="91"/>
      <c r="AI20" s="6"/>
      <c r="AJ20" s="6"/>
      <c r="AK20" s="6"/>
    </row>
    <row r="21" spans="2:37" ht="12.75">
      <c r="B21" s="6"/>
      <c r="C21" s="6" t="s">
        <v>233</v>
      </c>
      <c r="D21" s="6"/>
      <c r="E21" s="6"/>
      <c r="F21" s="6"/>
      <c r="G21" s="92"/>
      <c r="H21" s="6"/>
      <c r="I21" s="91"/>
      <c r="J21" s="6"/>
      <c r="K21" s="6"/>
      <c r="L21" s="6"/>
      <c r="M21" s="6"/>
      <c r="N21" s="6"/>
      <c r="O21" s="91"/>
      <c r="P21" s="6"/>
      <c r="Q21" s="6"/>
      <c r="R21" s="6"/>
      <c r="S21" s="6"/>
      <c r="T21" s="6"/>
      <c r="U21" s="91"/>
      <c r="V21" s="6"/>
      <c r="W21" s="6"/>
      <c r="X21" s="6"/>
      <c r="Y21" s="6"/>
      <c r="Z21" s="6"/>
      <c r="AA21" s="6"/>
      <c r="AB21" s="6"/>
      <c r="AC21" s="91"/>
      <c r="AD21" s="6"/>
      <c r="AE21" s="6"/>
      <c r="AF21" s="6"/>
      <c r="AG21" s="6"/>
      <c r="AH21" s="91"/>
      <c r="AI21" s="6"/>
      <c r="AJ21" s="6"/>
      <c r="AK21" s="6"/>
    </row>
    <row r="22" spans="2:37" ht="12.75">
      <c r="B22" s="6"/>
      <c r="C22" s="6"/>
      <c r="D22" s="6"/>
      <c r="E22" s="6"/>
      <c r="F22" s="6"/>
      <c r="G22" s="93"/>
      <c r="H22" s="6"/>
      <c r="I22" s="91"/>
      <c r="J22" s="6"/>
      <c r="K22" s="6"/>
      <c r="L22" s="6"/>
      <c r="M22" s="6"/>
      <c r="N22" s="6"/>
      <c r="O22" s="91"/>
      <c r="P22" s="6"/>
      <c r="Q22" s="6"/>
      <c r="R22" s="6"/>
      <c r="S22" s="6"/>
      <c r="T22" s="6"/>
      <c r="U22" s="91"/>
      <c r="V22" s="6"/>
      <c r="W22" s="6"/>
      <c r="X22" s="6"/>
      <c r="Y22" s="6"/>
      <c r="Z22" s="6"/>
      <c r="AA22" s="6"/>
      <c r="AB22" s="6"/>
      <c r="AC22" s="91"/>
      <c r="AD22" s="6"/>
      <c r="AE22" s="6"/>
      <c r="AF22" s="6"/>
      <c r="AG22" s="6"/>
      <c r="AH22" s="91"/>
      <c r="AI22" s="6"/>
      <c r="AJ22" s="6"/>
      <c r="AK22" s="6"/>
    </row>
    <row r="23" spans="2:37" ht="12.75">
      <c r="B23" s="3"/>
      <c r="C23" s="3" t="s">
        <v>123</v>
      </c>
      <c r="D23" s="3"/>
      <c r="E23" s="3"/>
      <c r="F23" s="3"/>
      <c r="G23" s="3"/>
      <c r="H23" s="3"/>
      <c r="I23" s="3"/>
      <c r="J23" s="3"/>
      <c r="K23" s="3"/>
      <c r="L23" s="3"/>
      <c r="M23" s="3"/>
      <c r="N23" s="3"/>
      <c r="O23" s="3"/>
      <c r="P23" s="3"/>
      <c r="Q23" s="3"/>
      <c r="R23" s="3"/>
      <c r="S23" s="6"/>
      <c r="T23" s="6"/>
      <c r="U23" s="91"/>
      <c r="V23" s="6"/>
      <c r="W23" s="6"/>
      <c r="X23" s="6"/>
      <c r="Y23" s="6"/>
      <c r="Z23" s="6"/>
      <c r="AA23" s="6"/>
      <c r="AB23" s="6"/>
      <c r="AC23" s="91"/>
      <c r="AD23" s="6"/>
      <c r="AE23" s="6"/>
      <c r="AF23" s="6"/>
      <c r="AG23" s="6"/>
      <c r="AH23" s="91"/>
      <c r="AI23" s="6"/>
      <c r="AJ23" s="6"/>
      <c r="AK23" s="6"/>
    </row>
    <row r="24" spans="2:37" ht="12.75">
      <c r="B24" s="99"/>
      <c r="D24" s="99"/>
      <c r="E24" s="100"/>
      <c r="F24" s="99"/>
      <c r="G24" s="99"/>
      <c r="H24" s="99"/>
      <c r="I24" s="99"/>
      <c r="K24" s="6"/>
      <c r="L24" s="6"/>
      <c r="M24" s="6"/>
      <c r="N24" s="6"/>
      <c r="O24" s="91"/>
      <c r="P24" s="6"/>
      <c r="Q24" s="6"/>
      <c r="R24" s="6"/>
      <c r="S24" s="6"/>
      <c r="T24" s="6"/>
      <c r="U24" s="91"/>
      <c r="V24" s="6"/>
      <c r="W24" s="6"/>
      <c r="X24" s="6"/>
      <c r="Y24" s="6"/>
      <c r="Z24" s="6"/>
      <c r="AA24" s="6"/>
      <c r="AB24" s="6"/>
      <c r="AC24" s="91"/>
      <c r="AD24" s="6"/>
      <c r="AE24" s="6"/>
      <c r="AF24" s="6"/>
      <c r="AG24" s="6"/>
      <c r="AH24" s="91"/>
      <c r="AI24" s="6"/>
      <c r="AJ24" s="6"/>
      <c r="AK24" s="6"/>
    </row>
    <row r="25" spans="2:37" ht="12.75">
      <c r="B25" s="21" t="s">
        <v>63</v>
      </c>
      <c r="G25" s="99"/>
      <c r="H25" s="99"/>
      <c r="I25" s="99"/>
      <c r="K25" s="6"/>
      <c r="L25" s="6"/>
      <c r="M25" s="6"/>
      <c r="N25" s="6"/>
      <c r="O25" s="91"/>
      <c r="P25" s="6"/>
      <c r="Q25" s="6"/>
      <c r="R25" s="6"/>
      <c r="S25" s="6"/>
      <c r="T25" s="6"/>
      <c r="U25" s="91"/>
      <c r="V25" s="6"/>
      <c r="W25" s="6"/>
      <c r="X25" s="6"/>
      <c r="Y25" s="6"/>
      <c r="Z25" s="6"/>
      <c r="AA25" s="6"/>
      <c r="AB25" s="6"/>
      <c r="AC25" s="91"/>
      <c r="AD25" s="6"/>
      <c r="AE25" s="6"/>
      <c r="AF25" s="6"/>
      <c r="AG25" s="6"/>
      <c r="AH25" s="91"/>
      <c r="AI25" s="6"/>
      <c r="AJ25" s="6"/>
      <c r="AK25" s="6"/>
    </row>
    <row r="26" spans="2:37" ht="6" customHeight="1">
      <c r="B26" s="21"/>
      <c r="G26" s="99"/>
      <c r="H26" s="99"/>
      <c r="I26" s="99"/>
      <c r="K26" s="6"/>
      <c r="L26" s="6"/>
      <c r="M26" s="6"/>
      <c r="N26" s="6"/>
      <c r="O26" s="91"/>
      <c r="P26" s="6"/>
      <c r="Q26" s="6"/>
      <c r="R26" s="6"/>
      <c r="S26" s="6"/>
      <c r="T26" s="6"/>
      <c r="U26" s="91"/>
      <c r="V26" s="6"/>
      <c r="W26" s="6"/>
      <c r="X26" s="6"/>
      <c r="Y26" s="6"/>
      <c r="Z26" s="6"/>
      <c r="AA26" s="6"/>
      <c r="AB26" s="6"/>
      <c r="AC26" s="91"/>
      <c r="AD26" s="6"/>
      <c r="AE26" s="6"/>
      <c r="AF26" s="6"/>
      <c r="AG26" s="6"/>
      <c r="AH26" s="91"/>
      <c r="AI26" s="6"/>
      <c r="AJ26" s="6"/>
      <c r="AK26" s="6"/>
    </row>
    <row r="27" spans="2:37" ht="12.75">
      <c r="B27" s="99"/>
      <c r="C27" s="6" t="s">
        <v>287</v>
      </c>
      <c r="D27" s="52" t="s">
        <v>167</v>
      </c>
      <c r="G27" s="99"/>
      <c r="H27" s="99"/>
      <c r="I27" s="99"/>
      <c r="K27" s="6"/>
      <c r="L27" s="6"/>
      <c r="M27" s="6"/>
      <c r="N27" s="6"/>
      <c r="O27" s="91"/>
      <c r="P27" s="6"/>
      <c r="Q27" s="6"/>
      <c r="R27" s="6"/>
      <c r="S27" s="6"/>
      <c r="T27" s="6"/>
      <c r="U27" s="91"/>
      <c r="V27" s="6"/>
      <c r="W27" s="6"/>
      <c r="X27" s="6"/>
      <c r="Y27" s="6"/>
      <c r="Z27" s="6"/>
      <c r="AA27" s="6"/>
      <c r="AB27" s="6"/>
      <c r="AC27" s="91"/>
      <c r="AD27" s="6"/>
      <c r="AE27" s="6"/>
      <c r="AF27" s="6"/>
      <c r="AG27" s="6"/>
      <c r="AH27" s="91"/>
      <c r="AI27" s="6"/>
      <c r="AJ27" s="6"/>
      <c r="AK27" s="6"/>
    </row>
    <row r="28" spans="2:37" ht="12.75">
      <c r="B28" s="99"/>
      <c r="C28" s="76" t="s">
        <v>64</v>
      </c>
      <c r="D28" s="190">
        <f>'Tarifs d''interconnexion'!D38</f>
        <v>9.5</v>
      </c>
      <c r="G28" s="99"/>
      <c r="H28" s="99"/>
      <c r="I28" s="99"/>
      <c r="K28" s="6"/>
      <c r="L28" s="6"/>
      <c r="M28" s="6"/>
      <c r="N28" s="6"/>
      <c r="O28" s="91"/>
      <c r="P28" s="6"/>
      <c r="Q28" s="6"/>
      <c r="R28" s="6"/>
      <c r="S28" s="6"/>
      <c r="T28" s="6"/>
      <c r="U28" s="91"/>
      <c r="V28" s="6"/>
      <c r="W28" s="6"/>
      <c r="X28" s="6"/>
      <c r="Y28" s="6"/>
      <c r="Z28" s="6"/>
      <c r="AA28" s="6"/>
      <c r="AB28" s="6"/>
      <c r="AC28" s="91"/>
      <c r="AD28" s="6"/>
      <c r="AE28" s="6"/>
      <c r="AF28" s="6"/>
      <c r="AG28" s="6"/>
      <c r="AH28" s="91"/>
      <c r="AI28" s="6"/>
      <c r="AJ28" s="6"/>
      <c r="AK28" s="6"/>
    </row>
    <row r="29" spans="2:37" ht="12.75">
      <c r="B29" s="99"/>
      <c r="C29" s="77" t="s">
        <v>65</v>
      </c>
      <c r="D29" s="190">
        <f>'Tarifs d''interconnexion'!D39</f>
        <v>9.5</v>
      </c>
      <c r="G29" s="99"/>
      <c r="H29" s="99"/>
      <c r="I29" s="99"/>
      <c r="K29" s="6"/>
      <c r="L29" s="6"/>
      <c r="M29" s="6"/>
      <c r="N29" s="6"/>
      <c r="O29" s="91"/>
      <c r="P29" s="6"/>
      <c r="Q29" s="6"/>
      <c r="R29" s="6"/>
      <c r="S29" s="6"/>
      <c r="T29" s="6"/>
      <c r="U29" s="91"/>
      <c r="V29" s="6"/>
      <c r="W29" s="6"/>
      <c r="X29" s="6"/>
      <c r="Y29" s="6"/>
      <c r="Z29" s="6"/>
      <c r="AA29" s="6"/>
      <c r="AB29" s="6"/>
      <c r="AC29" s="91"/>
      <c r="AD29" s="6"/>
      <c r="AE29" s="6"/>
      <c r="AF29" s="6"/>
      <c r="AG29" s="6"/>
      <c r="AH29" s="91"/>
      <c r="AI29" s="6"/>
      <c r="AJ29" s="6"/>
      <c r="AK29" s="6"/>
    </row>
    <row r="30" spans="2:37" ht="12.75">
      <c r="B30" s="6"/>
      <c r="C30" s="78" t="s">
        <v>261</v>
      </c>
      <c r="D30" s="63">
        <f>'Tarifs d''interconnexion'!D40</f>
        <v>11.24</v>
      </c>
      <c r="G30" s="6"/>
      <c r="H30" s="6"/>
      <c r="I30" s="6"/>
      <c r="K30" s="6"/>
      <c r="L30" s="6"/>
      <c r="M30" s="6"/>
      <c r="N30" s="6"/>
      <c r="O30" s="91"/>
      <c r="P30" s="6"/>
      <c r="Q30" s="6"/>
      <c r="R30" s="6"/>
      <c r="S30" s="6"/>
      <c r="T30" s="6"/>
      <c r="U30" s="91"/>
      <c r="V30" s="6"/>
      <c r="W30" s="6"/>
      <c r="X30" s="6"/>
      <c r="Y30" s="6"/>
      <c r="Z30" s="6"/>
      <c r="AA30" s="6"/>
      <c r="AB30" s="6"/>
      <c r="AC30" s="91"/>
      <c r="AD30" s="6"/>
      <c r="AE30" s="6"/>
      <c r="AF30" s="6"/>
      <c r="AG30" s="6"/>
      <c r="AH30" s="91"/>
      <c r="AI30" s="6"/>
      <c r="AJ30" s="6"/>
      <c r="AK30" s="6"/>
    </row>
    <row r="31" spans="2:37" ht="12.75">
      <c r="B31" s="21" t="s">
        <v>83</v>
      </c>
      <c r="D31" s="6"/>
      <c r="E31" s="6"/>
      <c r="F31" s="88"/>
      <c r="G31" s="6"/>
      <c r="H31" s="6"/>
      <c r="I31" s="6"/>
      <c r="K31" s="6"/>
      <c r="L31" s="6"/>
      <c r="M31" s="6"/>
      <c r="N31" s="6"/>
      <c r="O31" s="91"/>
      <c r="P31" s="6"/>
      <c r="Q31" s="6"/>
      <c r="R31" s="6"/>
      <c r="S31" s="6"/>
      <c r="T31" s="6"/>
      <c r="U31" s="91"/>
      <c r="V31" s="6"/>
      <c r="W31" s="6"/>
      <c r="X31" s="6"/>
      <c r="Y31" s="6"/>
      <c r="Z31" s="6"/>
      <c r="AA31" s="6"/>
      <c r="AB31" s="6"/>
      <c r="AC31" s="91"/>
      <c r="AD31" s="6"/>
      <c r="AE31" s="6"/>
      <c r="AF31" s="6"/>
      <c r="AG31" s="6"/>
      <c r="AH31" s="91"/>
      <c r="AI31" s="6"/>
      <c r="AJ31" s="6"/>
      <c r="AK31" s="6"/>
    </row>
    <row r="32" spans="2:37" ht="12.75">
      <c r="B32" s="6"/>
      <c r="C32" s="6" t="s">
        <v>288</v>
      </c>
      <c r="D32" s="2"/>
      <c r="E32" s="2"/>
      <c r="F32" s="80">
        <f>'Hypothèses coûts'!D65*1000000</f>
        <v>3300000</v>
      </c>
      <c r="G32" s="6" t="s">
        <v>146</v>
      </c>
      <c r="I32" s="6"/>
      <c r="K32" s="6"/>
      <c r="L32" s="6"/>
      <c r="M32" s="6"/>
      <c r="N32" s="6"/>
      <c r="O32" s="91"/>
      <c r="P32" s="6"/>
      <c r="Q32" s="6"/>
      <c r="R32" s="91"/>
      <c r="S32" s="6"/>
      <c r="T32" s="6"/>
      <c r="U32" s="91"/>
      <c r="V32" s="6"/>
      <c r="W32" s="6"/>
      <c r="X32" s="6"/>
      <c r="Y32" s="6"/>
      <c r="Z32" s="6"/>
      <c r="AA32" s="6"/>
      <c r="AB32" s="6"/>
      <c r="AC32" s="91"/>
      <c r="AD32" s="6"/>
      <c r="AE32" s="6"/>
      <c r="AF32" s="6"/>
      <c r="AG32" s="6"/>
      <c r="AH32" s="91"/>
      <c r="AI32" s="6"/>
      <c r="AJ32" s="6"/>
      <c r="AK32" s="6"/>
    </row>
    <row r="33" spans="2:37" ht="6" customHeight="1">
      <c r="B33" s="6"/>
      <c r="H33" s="6"/>
      <c r="I33" s="6"/>
      <c r="K33" s="6"/>
      <c r="L33" s="6"/>
      <c r="M33" s="6"/>
      <c r="N33" s="6"/>
      <c r="O33" s="91"/>
      <c r="P33" s="6"/>
      <c r="Q33" s="6"/>
      <c r="R33" s="91"/>
      <c r="S33" s="6"/>
      <c r="T33" s="6"/>
      <c r="U33" s="91"/>
      <c r="V33" s="6"/>
      <c r="W33" s="6"/>
      <c r="X33" s="6"/>
      <c r="Y33" s="6"/>
      <c r="Z33" s="6"/>
      <c r="AA33" s="6"/>
      <c r="AB33" s="6"/>
      <c r="AC33" s="91"/>
      <c r="AD33" s="6"/>
      <c r="AE33" s="6"/>
      <c r="AF33" s="6"/>
      <c r="AG33" s="6"/>
      <c r="AH33" s="91"/>
      <c r="AI33" s="6"/>
      <c r="AJ33" s="6"/>
      <c r="AK33" s="6"/>
    </row>
    <row r="34" spans="2:37" ht="12.75">
      <c r="B34" s="6"/>
      <c r="C34" s="109"/>
      <c r="D34" s="109" t="s">
        <v>119</v>
      </c>
      <c r="E34" s="164" t="s">
        <v>53</v>
      </c>
      <c r="F34" s="109" t="s">
        <v>203</v>
      </c>
      <c r="G34" s="164" t="s">
        <v>152</v>
      </c>
      <c r="I34" s="6"/>
      <c r="K34" s="6"/>
      <c r="L34" s="6"/>
      <c r="M34" s="6"/>
      <c r="N34" s="6"/>
      <c r="O34" s="91"/>
      <c r="P34" s="6"/>
      <c r="Q34" s="6"/>
      <c r="R34" s="91"/>
      <c r="S34" s="6"/>
      <c r="T34" s="6"/>
      <c r="U34" s="91"/>
      <c r="V34" s="6"/>
      <c r="W34" s="6"/>
      <c r="X34" s="6"/>
      <c r="Y34" s="6"/>
      <c r="Z34" s="6"/>
      <c r="AA34" s="6"/>
      <c r="AB34" s="6"/>
      <c r="AC34" s="91"/>
      <c r="AD34" s="6"/>
      <c r="AE34" s="6"/>
      <c r="AF34" s="6"/>
      <c r="AG34" s="6"/>
      <c r="AH34" s="91"/>
      <c r="AI34" s="6"/>
      <c r="AJ34" s="6"/>
      <c r="AK34" s="6"/>
    </row>
    <row r="35" spans="2:37" ht="12.75">
      <c r="B35" s="6"/>
      <c r="C35" s="109" t="s">
        <v>150</v>
      </c>
      <c r="D35" s="162"/>
      <c r="E35" s="163">
        <f>'Tarifs d''interconnexion'!D43</f>
        <v>3722</v>
      </c>
      <c r="F35" s="162"/>
      <c r="G35" s="161">
        <f>E35/F32*100</f>
        <v>0.1127878787878788</v>
      </c>
      <c r="I35" s="6"/>
      <c r="J35" s="121"/>
      <c r="K35" s="6"/>
      <c r="L35" s="6"/>
      <c r="M35" s="6"/>
      <c r="N35" s="6"/>
      <c r="O35" s="91"/>
      <c r="P35" s="6"/>
      <c r="Q35" s="6"/>
      <c r="R35" s="91"/>
      <c r="S35" s="6"/>
      <c r="T35" s="6"/>
      <c r="U35" s="91"/>
      <c r="V35" s="6"/>
      <c r="W35" s="6"/>
      <c r="X35" s="6"/>
      <c r="Y35" s="6"/>
      <c r="Z35" s="6"/>
      <c r="AA35" s="6"/>
      <c r="AB35" s="6"/>
      <c r="AC35" s="91"/>
      <c r="AD35" s="6"/>
      <c r="AE35" s="6"/>
      <c r="AF35" s="6"/>
      <c r="AG35" s="6"/>
      <c r="AH35" s="91"/>
      <c r="AI35" s="6"/>
      <c r="AJ35" s="6"/>
      <c r="AK35" s="6"/>
    </row>
    <row r="36" spans="2:37" ht="12.75">
      <c r="B36" s="6"/>
      <c r="C36" s="109" t="s">
        <v>65</v>
      </c>
      <c r="D36" s="162"/>
      <c r="E36" s="163">
        <f>'Tarifs d''interconnexion'!D44</f>
        <v>3722</v>
      </c>
      <c r="F36" s="162"/>
      <c r="G36" s="161">
        <f>E36/F32*100</f>
        <v>0.1127878787878788</v>
      </c>
      <c r="I36" s="6"/>
      <c r="J36" s="121"/>
      <c r="K36" s="82"/>
      <c r="L36" s="6"/>
      <c r="M36" s="6"/>
      <c r="N36" s="6"/>
      <c r="O36" s="91"/>
      <c r="P36" s="6"/>
      <c r="Q36" s="6"/>
      <c r="R36" s="91"/>
      <c r="S36" s="6"/>
      <c r="T36" s="6"/>
      <c r="U36" s="91"/>
      <c r="V36" s="6"/>
      <c r="W36" s="6"/>
      <c r="X36" s="6"/>
      <c r="Y36" s="6"/>
      <c r="Z36" s="6"/>
      <c r="AA36" s="6"/>
      <c r="AB36" s="6"/>
      <c r="AC36" s="91"/>
      <c r="AD36" s="6"/>
      <c r="AE36" s="6"/>
      <c r="AF36" s="6"/>
      <c r="AG36" s="6"/>
      <c r="AH36" s="91"/>
      <c r="AI36" s="6"/>
      <c r="AJ36" s="6"/>
      <c r="AK36" s="6"/>
    </row>
    <row r="37" spans="2:37" ht="12.75">
      <c r="B37" s="6"/>
      <c r="C37" s="109" t="s">
        <v>32</v>
      </c>
      <c r="D37" s="162"/>
      <c r="E37" s="163">
        <f>'Tarifs d''interconnexion'!D45</f>
        <v>5458</v>
      </c>
      <c r="F37" s="162"/>
      <c r="G37" s="161">
        <f>E37/F32*100</f>
        <v>0.1653939393939394</v>
      </c>
      <c r="I37" s="6"/>
      <c r="J37" s="121"/>
      <c r="K37" s="82"/>
      <c r="L37" s="6"/>
      <c r="M37" s="6"/>
      <c r="N37" s="6"/>
      <c r="O37" s="91"/>
      <c r="P37" s="6"/>
      <c r="Q37" s="6"/>
      <c r="R37" s="91"/>
      <c r="S37" s="6"/>
      <c r="T37" s="6"/>
      <c r="U37" s="91"/>
      <c r="V37" s="6"/>
      <c r="W37" s="6"/>
      <c r="X37" s="6"/>
      <c r="Y37" s="6"/>
      <c r="Z37" s="6"/>
      <c r="AA37" s="6"/>
      <c r="AB37" s="6"/>
      <c r="AC37" s="91"/>
      <c r="AD37" s="6"/>
      <c r="AE37" s="6"/>
      <c r="AF37" s="6"/>
      <c r="AG37" s="6"/>
      <c r="AH37" s="91"/>
      <c r="AI37" s="6"/>
      <c r="AJ37" s="6"/>
      <c r="AK37" s="6"/>
    </row>
    <row r="38" spans="2:37" ht="12.75">
      <c r="B38" s="6"/>
      <c r="C38" s="6"/>
      <c r="D38" s="6"/>
      <c r="E38" s="6"/>
      <c r="F38" s="6"/>
      <c r="G38" s="110"/>
      <c r="H38" s="6"/>
      <c r="I38" s="6"/>
      <c r="K38" s="82"/>
      <c r="L38" s="6"/>
      <c r="M38" s="6"/>
      <c r="N38" s="6"/>
      <c r="O38" s="91"/>
      <c r="P38" s="6"/>
      <c r="Q38" s="6"/>
      <c r="R38" s="91"/>
      <c r="S38" s="6"/>
      <c r="T38" s="6"/>
      <c r="U38" s="91"/>
      <c r="V38" s="6"/>
      <c r="W38" s="6"/>
      <c r="X38" s="6"/>
      <c r="Y38" s="6"/>
      <c r="Z38" s="6"/>
      <c r="AA38" s="6"/>
      <c r="AB38" s="6"/>
      <c r="AC38" s="91"/>
      <c r="AD38" s="6"/>
      <c r="AE38" s="6"/>
      <c r="AF38" s="6"/>
      <c r="AG38" s="6"/>
      <c r="AH38" s="91"/>
      <c r="AI38" s="6"/>
      <c r="AJ38" s="6"/>
      <c r="AK38" s="6"/>
    </row>
    <row r="39" spans="2:37" ht="12.75">
      <c r="B39" s="21" t="s">
        <v>153</v>
      </c>
      <c r="D39" s="6"/>
      <c r="E39" s="6"/>
      <c r="F39" s="6"/>
      <c r="G39" s="6"/>
      <c r="H39" s="6"/>
      <c r="I39" s="6"/>
      <c r="K39" s="6"/>
      <c r="L39" s="6"/>
      <c r="M39" s="6"/>
      <c r="N39" s="6"/>
      <c r="O39" s="91"/>
      <c r="P39" s="6"/>
      <c r="Q39" s="6"/>
      <c r="R39" s="91"/>
      <c r="S39" s="6"/>
      <c r="T39" s="6"/>
      <c r="U39" s="91"/>
      <c r="V39" s="6"/>
      <c r="W39" s="6"/>
      <c r="X39" s="6"/>
      <c r="Y39" s="6"/>
      <c r="Z39" s="6"/>
      <c r="AA39" s="6"/>
      <c r="AB39" s="6"/>
      <c r="AC39" s="91"/>
      <c r="AD39" s="6"/>
      <c r="AE39" s="6"/>
      <c r="AF39" s="6"/>
      <c r="AG39" s="6"/>
      <c r="AH39" s="91"/>
      <c r="AI39" s="6"/>
      <c r="AJ39" s="6"/>
      <c r="AK39" s="6"/>
    </row>
    <row r="40" spans="2:37" ht="12.75">
      <c r="B40" s="6"/>
      <c r="C40" s="6" t="s">
        <v>289</v>
      </c>
      <c r="F40" s="261">
        <f>'Hypothèses coûts'!D64</f>
        <v>10</v>
      </c>
      <c r="I40" s="6"/>
      <c r="K40" s="6"/>
      <c r="L40" s="6"/>
      <c r="M40" s="6"/>
      <c r="N40" s="6"/>
      <c r="O40" s="91"/>
      <c r="P40" s="6"/>
      <c r="Q40" s="6"/>
      <c r="R40" s="91"/>
      <c r="S40" s="6"/>
      <c r="T40" s="6"/>
      <c r="U40" s="91"/>
      <c r="V40" s="6"/>
      <c r="W40" s="6"/>
      <c r="X40" s="6"/>
      <c r="Y40" s="6"/>
      <c r="Z40" s="6"/>
      <c r="AA40" s="6"/>
      <c r="AB40" s="6"/>
      <c r="AC40" s="91"/>
      <c r="AD40" s="6"/>
      <c r="AE40" s="6"/>
      <c r="AF40" s="6"/>
      <c r="AG40" s="6"/>
      <c r="AH40" s="91"/>
      <c r="AI40" s="6"/>
      <c r="AJ40" s="6"/>
      <c r="AK40" s="6"/>
    </row>
    <row r="41" spans="2:37" ht="12.75">
      <c r="B41" s="6"/>
      <c r="C41" s="29" t="s">
        <v>290</v>
      </c>
      <c r="F41" s="325">
        <f>'Hypothèses coûts'!D63</f>
        <v>3</v>
      </c>
      <c r="G41" s="262" t="s">
        <v>97</v>
      </c>
      <c r="I41" s="6"/>
      <c r="K41" s="6"/>
      <c r="L41" s="6"/>
      <c r="M41" s="6"/>
      <c r="N41" s="6"/>
      <c r="O41" s="91"/>
      <c r="P41" s="6"/>
      <c r="Q41" s="6"/>
      <c r="R41" s="91"/>
      <c r="S41" s="6"/>
      <c r="T41" s="6"/>
      <c r="U41" s="91"/>
      <c r="V41" s="6"/>
      <c r="W41" s="6"/>
      <c r="X41" s="6"/>
      <c r="Y41" s="6"/>
      <c r="Z41" s="6"/>
      <c r="AA41" s="6"/>
      <c r="AB41" s="6"/>
      <c r="AC41" s="91"/>
      <c r="AD41" s="6"/>
      <c r="AE41" s="6"/>
      <c r="AF41" s="6"/>
      <c r="AG41" s="6"/>
      <c r="AH41" s="91"/>
      <c r="AI41" s="6"/>
      <c r="AJ41" s="6"/>
      <c r="AK41" s="6"/>
    </row>
    <row r="42" spans="2:37" ht="12.75">
      <c r="B42" s="6"/>
      <c r="F42" s="6"/>
      <c r="G42" s="6"/>
      <c r="H42" s="6"/>
      <c r="I42" s="6"/>
      <c r="K42" s="6"/>
      <c r="L42" s="6"/>
      <c r="M42" s="6"/>
      <c r="N42" s="6"/>
      <c r="O42" s="91"/>
      <c r="P42" s="6"/>
      <c r="Q42" s="6"/>
      <c r="R42" s="91"/>
      <c r="S42" s="6"/>
      <c r="T42" s="6"/>
      <c r="U42" s="91"/>
      <c r="V42" s="6"/>
      <c r="W42" s="6"/>
      <c r="X42" s="6"/>
      <c r="Y42" s="6"/>
      <c r="Z42" s="6"/>
      <c r="AA42" s="6"/>
      <c r="AB42" s="6"/>
      <c r="AC42" s="91"/>
      <c r="AD42" s="6"/>
      <c r="AE42" s="6"/>
      <c r="AF42" s="6"/>
      <c r="AG42" s="6"/>
      <c r="AH42" s="91"/>
      <c r="AI42" s="6"/>
      <c r="AJ42" s="6"/>
      <c r="AK42" s="6"/>
    </row>
    <row r="43" spans="2:37" ht="12.75">
      <c r="B43" s="6"/>
      <c r="F43" s="154" t="s">
        <v>199</v>
      </c>
      <c r="G43" s="111" t="s">
        <v>151</v>
      </c>
      <c r="H43" s="76" t="s">
        <v>200</v>
      </c>
      <c r="I43" s="6"/>
      <c r="K43" s="6"/>
      <c r="L43" s="6"/>
      <c r="M43" s="6"/>
      <c r="N43" s="6"/>
      <c r="O43" s="91"/>
      <c r="P43" s="6"/>
      <c r="Q43" s="6"/>
      <c r="R43" s="91"/>
      <c r="S43" s="6"/>
      <c r="T43" s="6"/>
      <c r="U43" s="91"/>
      <c r="V43" s="6"/>
      <c r="W43" s="6"/>
      <c r="X43" s="6"/>
      <c r="Y43" s="6"/>
      <c r="Z43" s="6"/>
      <c r="AA43" s="6"/>
      <c r="AB43" s="6"/>
      <c r="AC43" s="91"/>
      <c r="AD43" s="6"/>
      <c r="AE43" s="6"/>
      <c r="AF43" s="6"/>
      <c r="AG43" s="6"/>
      <c r="AH43" s="91"/>
      <c r="AI43" s="6"/>
      <c r="AJ43" s="6"/>
      <c r="AK43" s="6"/>
    </row>
    <row r="44" spans="2:37" ht="12.75">
      <c r="B44" s="6"/>
      <c r="F44" s="155"/>
      <c r="G44" s="112" t="s">
        <v>68</v>
      </c>
      <c r="H44" s="78" t="s">
        <v>118</v>
      </c>
      <c r="I44" s="6"/>
      <c r="K44" s="6"/>
      <c r="L44" s="6"/>
      <c r="M44" s="6"/>
      <c r="N44" s="6"/>
      <c r="O44" s="91"/>
      <c r="P44" s="6"/>
      <c r="Q44" s="6"/>
      <c r="R44" s="91"/>
      <c r="S44" s="6"/>
      <c r="T44" s="6"/>
      <c r="U44" s="91"/>
      <c r="V44" s="6"/>
      <c r="W44" s="6"/>
      <c r="X44" s="6"/>
      <c r="Y44" s="6"/>
      <c r="Z44" s="6"/>
      <c r="AA44" s="6"/>
      <c r="AB44" s="6"/>
      <c r="AC44" s="91"/>
      <c r="AD44" s="6"/>
      <c r="AE44" s="6"/>
      <c r="AF44" s="6"/>
      <c r="AG44" s="6"/>
      <c r="AH44" s="91"/>
      <c r="AI44" s="6"/>
      <c r="AJ44" s="6"/>
      <c r="AK44" s="6"/>
    </row>
    <row r="45" spans="2:37" ht="12.75">
      <c r="B45" s="6"/>
      <c r="C45" s="64" t="s">
        <v>150</v>
      </c>
      <c r="D45" s="265"/>
      <c r="E45" s="43"/>
      <c r="F45" s="111"/>
      <c r="G45" s="111"/>
      <c r="H45" s="76"/>
      <c r="I45" s="6"/>
      <c r="K45" s="6"/>
      <c r="L45" s="6"/>
      <c r="M45" s="6"/>
      <c r="N45" s="6"/>
      <c r="O45" s="91"/>
      <c r="P45" s="6"/>
      <c r="Q45" s="6"/>
      <c r="R45" s="91"/>
      <c r="S45" s="6"/>
      <c r="T45" s="6"/>
      <c r="U45" s="91"/>
      <c r="V45" s="6"/>
      <c r="W45" s="6"/>
      <c r="X45" s="6"/>
      <c r="Y45" s="6"/>
      <c r="Z45" s="6"/>
      <c r="AA45" s="6"/>
      <c r="AB45" s="6"/>
      <c r="AC45" s="91"/>
      <c r="AD45" s="6"/>
      <c r="AE45" s="6"/>
      <c r="AF45" s="6"/>
      <c r="AG45" s="6"/>
      <c r="AH45" s="91"/>
      <c r="AI45" s="6"/>
      <c r="AJ45" s="6"/>
      <c r="AK45" s="6"/>
    </row>
    <row r="46" spans="2:37" ht="12.75">
      <c r="B46" s="6"/>
      <c r="C46" s="113" t="s">
        <v>55</v>
      </c>
      <c r="D46" s="80">
        <f>'Tarifs d''interconnexion'!E48</f>
        <v>56406</v>
      </c>
      <c r="E46" s="147"/>
      <c r="F46" s="113"/>
      <c r="G46" s="113"/>
      <c r="H46" s="77"/>
      <c r="I46" s="6"/>
      <c r="K46" s="6"/>
      <c r="L46" s="6"/>
      <c r="M46" s="6"/>
      <c r="N46" s="6"/>
      <c r="O46" s="91"/>
      <c r="P46" s="6"/>
      <c r="Q46" s="6"/>
      <c r="R46" s="91"/>
      <c r="S46" s="6"/>
      <c r="T46" s="6"/>
      <c r="U46" s="337"/>
      <c r="V46" s="6"/>
      <c r="W46" s="6"/>
      <c r="X46" s="6"/>
      <c r="Y46" s="6"/>
      <c r="Z46" s="6"/>
      <c r="AA46" s="6"/>
      <c r="AB46" s="6"/>
      <c r="AC46" s="91"/>
      <c r="AD46" s="6"/>
      <c r="AE46" s="6"/>
      <c r="AF46" s="6"/>
      <c r="AG46" s="6"/>
      <c r="AH46" s="91"/>
      <c r="AI46" s="6"/>
      <c r="AJ46" s="6"/>
      <c r="AK46" s="6"/>
    </row>
    <row r="47" spans="2:37" ht="12.75">
      <c r="B47" s="6"/>
      <c r="C47" s="112" t="s">
        <v>291</v>
      </c>
      <c r="D47" s="117">
        <f>'Tarifs d''interconnexion'!E49</f>
        <v>9147</v>
      </c>
      <c r="E47" s="118"/>
      <c r="F47" s="119">
        <f>D46/F41+D47</f>
        <v>27949</v>
      </c>
      <c r="G47" s="119">
        <f>F47/F40</f>
        <v>2794.9</v>
      </c>
      <c r="H47" s="120">
        <f>G47/F32*100</f>
        <v>0.08469393939393939</v>
      </c>
      <c r="I47" s="6"/>
      <c r="K47" s="6"/>
      <c r="L47" s="6"/>
      <c r="M47" s="6"/>
      <c r="N47" s="6"/>
      <c r="O47" s="91"/>
      <c r="P47" s="6"/>
      <c r="Q47" s="6"/>
      <c r="R47" s="91"/>
      <c r="S47" s="6"/>
      <c r="T47" s="6"/>
      <c r="U47" s="337"/>
      <c r="V47" s="6"/>
      <c r="W47" s="6"/>
      <c r="X47" s="6"/>
      <c r="Y47" s="6"/>
      <c r="Z47" s="6"/>
      <c r="AA47" s="6"/>
      <c r="AB47" s="6"/>
      <c r="AC47" s="91"/>
      <c r="AD47" s="6"/>
      <c r="AE47" s="6"/>
      <c r="AF47" s="6"/>
      <c r="AG47" s="6"/>
      <c r="AH47" s="91"/>
      <c r="AI47" s="6"/>
      <c r="AJ47" s="6"/>
      <c r="AK47" s="6"/>
    </row>
    <row r="48" spans="2:37" ht="12.75">
      <c r="B48" s="6"/>
      <c r="C48" s="64" t="s">
        <v>65</v>
      </c>
      <c r="D48" s="265"/>
      <c r="E48" s="43"/>
      <c r="F48" s="263"/>
      <c r="G48" s="263"/>
      <c r="H48" s="264"/>
      <c r="I48" s="6"/>
      <c r="K48" s="6"/>
      <c r="L48" s="6"/>
      <c r="M48" s="6"/>
      <c r="N48" s="6"/>
      <c r="O48" s="91"/>
      <c r="P48" s="6"/>
      <c r="Q48" s="6"/>
      <c r="R48" s="91"/>
      <c r="S48" s="6"/>
      <c r="T48" s="6"/>
      <c r="U48" s="91"/>
      <c r="V48" s="6"/>
      <c r="W48" s="6"/>
      <c r="X48" s="6"/>
      <c r="Y48" s="6"/>
      <c r="Z48" s="6"/>
      <c r="AA48" s="6"/>
      <c r="AB48" s="6"/>
      <c r="AC48" s="91"/>
      <c r="AD48" s="6"/>
      <c r="AE48" s="6"/>
      <c r="AF48" s="6"/>
      <c r="AG48" s="6"/>
      <c r="AH48" s="91"/>
      <c r="AI48" s="6"/>
      <c r="AJ48" s="6"/>
      <c r="AK48" s="6"/>
    </row>
    <row r="49" spans="2:37" ht="12.75">
      <c r="B49" s="6"/>
      <c r="C49" s="113" t="s">
        <v>55</v>
      </c>
      <c r="D49" s="80">
        <f>'Tarifs d''interconnexion'!E52</f>
        <v>52442</v>
      </c>
      <c r="E49" s="114"/>
      <c r="F49" s="115"/>
      <c r="G49" s="115"/>
      <c r="H49" s="116"/>
      <c r="I49" s="6"/>
      <c r="K49" s="6"/>
      <c r="L49" s="6"/>
      <c r="M49" s="6"/>
      <c r="N49" s="6"/>
      <c r="O49" s="91"/>
      <c r="P49" s="6"/>
      <c r="Q49" s="6"/>
      <c r="R49" s="91"/>
      <c r="S49" s="6"/>
      <c r="T49" s="6"/>
      <c r="U49" s="91"/>
      <c r="V49" s="6"/>
      <c r="W49" s="6"/>
      <c r="X49" s="6"/>
      <c r="Y49" s="6"/>
      <c r="Z49" s="6"/>
      <c r="AA49" s="6"/>
      <c r="AB49" s="6"/>
      <c r="AC49" s="91"/>
      <c r="AD49" s="6"/>
      <c r="AE49" s="6"/>
      <c r="AF49" s="6"/>
      <c r="AG49" s="6"/>
      <c r="AH49" s="91"/>
      <c r="AI49" s="6"/>
      <c r="AJ49" s="6"/>
      <c r="AK49" s="6"/>
    </row>
    <row r="50" spans="2:37" ht="12.75">
      <c r="B50" s="172"/>
      <c r="C50" s="112" t="s">
        <v>291</v>
      </c>
      <c r="D50" s="117">
        <f>'Tarifs d''interconnexion'!E53</f>
        <v>11434</v>
      </c>
      <c r="E50" s="118"/>
      <c r="F50" s="119">
        <f>D49/F41+D50</f>
        <v>28914.666666666668</v>
      </c>
      <c r="G50" s="119">
        <f>F50/F40</f>
        <v>2891.4666666666667</v>
      </c>
      <c r="H50" s="120">
        <f>G50/F32*100</f>
        <v>0.08762020202020203</v>
      </c>
      <c r="I50" s="6"/>
      <c r="K50" s="6"/>
      <c r="L50" s="6"/>
      <c r="M50" s="6"/>
      <c r="N50" s="6"/>
      <c r="O50" s="91"/>
      <c r="P50" s="6"/>
      <c r="Q50" s="6"/>
      <c r="R50" s="91"/>
      <c r="S50" s="6"/>
      <c r="T50" s="6"/>
      <c r="U50" s="91"/>
      <c r="V50" s="6"/>
      <c r="W50" s="6"/>
      <c r="X50" s="6"/>
      <c r="Y50" s="6"/>
      <c r="Z50" s="6"/>
      <c r="AA50" s="6"/>
      <c r="AB50" s="6"/>
      <c r="AC50" s="91"/>
      <c r="AD50" s="6"/>
      <c r="AE50" s="6"/>
      <c r="AF50" s="6"/>
      <c r="AG50" s="6"/>
      <c r="AH50" s="91"/>
      <c r="AI50" s="6"/>
      <c r="AJ50" s="6"/>
      <c r="AK50" s="6"/>
    </row>
    <row r="51" spans="2:31" ht="12.75">
      <c r="B51" s="6"/>
      <c r="C51" s="64" t="s">
        <v>270</v>
      </c>
      <c r="D51" s="265"/>
      <c r="E51" s="43"/>
      <c r="F51" s="266"/>
      <c r="G51" s="115"/>
      <c r="H51" s="116"/>
      <c r="I51" s="6"/>
      <c r="J51" s="6"/>
      <c r="K51" s="6"/>
      <c r="L51" s="6"/>
      <c r="M51" s="6"/>
      <c r="N51" s="91"/>
      <c r="O51" s="6"/>
      <c r="P51" s="6"/>
      <c r="Q51" s="6"/>
      <c r="R51" s="6"/>
      <c r="S51" s="6"/>
      <c r="T51" s="6"/>
      <c r="U51" s="6"/>
      <c r="V51" s="6"/>
      <c r="W51" s="91"/>
      <c r="X51" s="6"/>
      <c r="Y51" s="6"/>
      <c r="Z51" s="6"/>
      <c r="AA51" s="6"/>
      <c r="AB51" s="91"/>
      <c r="AC51" s="6"/>
      <c r="AD51" s="6"/>
      <c r="AE51" s="6"/>
    </row>
    <row r="52" spans="2:37" ht="12.75">
      <c r="B52" s="6"/>
      <c r="C52" s="113" t="s">
        <v>55</v>
      </c>
      <c r="D52" s="80">
        <f>'Tarifs d''interconnexion'!E56</f>
        <v>56406</v>
      </c>
      <c r="E52" s="114"/>
      <c r="F52" s="267"/>
      <c r="G52" s="115"/>
      <c r="H52" s="116"/>
      <c r="I52" s="6"/>
      <c r="J52" s="6"/>
      <c r="K52" s="6"/>
      <c r="L52" s="6"/>
      <c r="M52" s="6"/>
      <c r="N52" s="91"/>
      <c r="O52" s="6"/>
      <c r="P52" s="6"/>
      <c r="Q52" s="6"/>
      <c r="R52" s="6"/>
      <c r="S52" s="6"/>
      <c r="T52" s="6"/>
      <c r="U52" s="91"/>
      <c r="V52" s="6"/>
      <c r="W52" s="6"/>
      <c r="X52" s="6"/>
      <c r="Y52" s="6"/>
      <c r="Z52" s="6"/>
      <c r="AA52" s="6"/>
      <c r="AB52" s="6"/>
      <c r="AC52" s="91"/>
      <c r="AD52" s="6"/>
      <c r="AE52" s="6"/>
      <c r="AF52" s="6"/>
      <c r="AG52" s="6"/>
      <c r="AH52" s="91"/>
      <c r="AI52" s="6"/>
      <c r="AJ52" s="6"/>
      <c r="AK52" s="6"/>
    </row>
    <row r="53" spans="2:37" ht="12.75">
      <c r="B53" s="6"/>
      <c r="C53" s="112" t="s">
        <v>291</v>
      </c>
      <c r="D53" s="117">
        <f>'Tarifs d''interconnexion'!E58</f>
        <v>22864</v>
      </c>
      <c r="E53" s="118"/>
      <c r="F53" s="268">
        <f>D52/F41+D53</f>
        <v>41666</v>
      </c>
      <c r="G53" s="119">
        <f>F53/F40</f>
        <v>4166.6</v>
      </c>
      <c r="H53" s="120">
        <f>G53/F32*100</f>
        <v>0.12626060606060607</v>
      </c>
      <c r="I53" s="6"/>
      <c r="J53" s="6"/>
      <c r="K53" s="6"/>
      <c r="L53" s="6"/>
      <c r="M53" s="6"/>
      <c r="N53" s="91"/>
      <c r="O53" s="6"/>
      <c r="P53" s="6"/>
      <c r="Q53" s="6"/>
      <c r="R53" s="6"/>
      <c r="S53" s="6"/>
      <c r="T53" s="6"/>
      <c r="U53" s="91"/>
      <c r="V53" s="6"/>
      <c r="W53" s="6"/>
      <c r="X53" s="6"/>
      <c r="Y53" s="6"/>
      <c r="Z53" s="6"/>
      <c r="AA53" s="6"/>
      <c r="AB53" s="6"/>
      <c r="AC53" s="91"/>
      <c r="AD53" s="6"/>
      <c r="AE53" s="6"/>
      <c r="AF53" s="6"/>
      <c r="AG53" s="6"/>
      <c r="AH53" s="91"/>
      <c r="AI53" s="6"/>
      <c r="AJ53" s="6"/>
      <c r="AK53" s="6"/>
    </row>
    <row r="54" spans="2:37" ht="12.75">
      <c r="B54" s="6"/>
      <c r="C54" s="6"/>
      <c r="D54" s="6"/>
      <c r="E54" s="92"/>
      <c r="F54" s="6"/>
      <c r="G54" s="6"/>
      <c r="H54" s="91"/>
      <c r="I54" s="6"/>
      <c r="J54" s="6"/>
      <c r="K54" s="6"/>
      <c r="L54" s="6"/>
      <c r="M54" s="6"/>
      <c r="N54" s="91"/>
      <c r="O54" s="6"/>
      <c r="P54" s="6"/>
      <c r="Q54" s="6"/>
      <c r="R54" s="6"/>
      <c r="S54" s="6"/>
      <c r="T54" s="6"/>
      <c r="U54" s="91"/>
      <c r="V54" s="6"/>
      <c r="W54" s="6"/>
      <c r="X54" s="6"/>
      <c r="Y54" s="6"/>
      <c r="Z54" s="6"/>
      <c r="AA54" s="6"/>
      <c r="AB54" s="6"/>
      <c r="AC54" s="91"/>
      <c r="AD54" s="6"/>
      <c r="AE54" s="6"/>
      <c r="AF54" s="6"/>
      <c r="AG54" s="6"/>
      <c r="AH54" s="91"/>
      <c r="AI54" s="6"/>
      <c r="AJ54" s="6"/>
      <c r="AK54" s="6"/>
    </row>
    <row r="55" spans="2:37" ht="12.75">
      <c r="B55" s="6"/>
      <c r="C55" s="6"/>
      <c r="D55" s="6"/>
      <c r="E55" s="92"/>
      <c r="F55" s="6"/>
      <c r="G55" s="6"/>
      <c r="H55" s="91"/>
      <c r="I55" s="6"/>
      <c r="J55" s="6"/>
      <c r="K55" s="6"/>
      <c r="L55" s="6"/>
      <c r="M55" s="6"/>
      <c r="N55" s="91"/>
      <c r="O55" s="6"/>
      <c r="P55" s="6"/>
      <c r="Q55" s="6"/>
      <c r="R55" s="6"/>
      <c r="S55" s="6"/>
      <c r="T55" s="6"/>
      <c r="U55" s="91"/>
      <c r="V55" s="6"/>
      <c r="W55" s="6"/>
      <c r="X55" s="6"/>
      <c r="Y55" s="6"/>
      <c r="Z55" s="6"/>
      <c r="AA55" s="6"/>
      <c r="AB55" s="6"/>
      <c r="AC55" s="91"/>
      <c r="AD55" s="6"/>
      <c r="AE55" s="6"/>
      <c r="AF55" s="6"/>
      <c r="AG55" s="6"/>
      <c r="AH55" s="91"/>
      <c r="AI55" s="6"/>
      <c r="AJ55" s="6"/>
      <c r="AK55" s="6"/>
    </row>
    <row r="56" spans="2:37" ht="12.75">
      <c r="B56" s="6"/>
      <c r="C56" s="6"/>
      <c r="D56" s="6"/>
      <c r="E56" s="92"/>
      <c r="F56" s="6"/>
      <c r="G56" s="6"/>
      <c r="H56" s="91"/>
      <c r="I56" s="6"/>
      <c r="J56" s="6"/>
      <c r="K56" s="6"/>
      <c r="L56" s="6"/>
      <c r="M56" s="6"/>
      <c r="N56" s="91"/>
      <c r="O56" s="6"/>
      <c r="P56" s="6"/>
      <c r="Q56" s="6"/>
      <c r="R56" s="6"/>
      <c r="S56" s="6"/>
      <c r="T56" s="6"/>
      <c r="U56" s="91"/>
      <c r="V56" s="6"/>
      <c r="W56" s="6"/>
      <c r="X56" s="6"/>
      <c r="Y56" s="6"/>
      <c r="Z56" s="6"/>
      <c r="AA56" s="6"/>
      <c r="AB56" s="6"/>
      <c r="AC56" s="91"/>
      <c r="AD56" s="6"/>
      <c r="AE56" s="6"/>
      <c r="AF56" s="6"/>
      <c r="AG56" s="6"/>
      <c r="AH56" s="91"/>
      <c r="AI56" s="6"/>
      <c r="AJ56" s="6"/>
      <c r="AK56" s="6"/>
    </row>
    <row r="57" spans="2:37" ht="12.75">
      <c r="B57" s="6"/>
      <c r="C57" s="6"/>
      <c r="D57" s="6"/>
      <c r="E57" s="92"/>
      <c r="F57" s="6"/>
      <c r="G57" s="6"/>
      <c r="H57" s="91"/>
      <c r="I57" s="6"/>
      <c r="J57" s="6"/>
      <c r="K57" s="6"/>
      <c r="L57" s="6"/>
      <c r="M57" s="6"/>
      <c r="N57" s="91"/>
      <c r="O57" s="6"/>
      <c r="P57" s="6"/>
      <c r="Q57" s="6"/>
      <c r="R57" s="6"/>
      <c r="S57" s="6"/>
      <c r="T57" s="6"/>
      <c r="U57" s="91"/>
      <c r="V57" s="6"/>
      <c r="W57" s="6"/>
      <c r="X57" s="6"/>
      <c r="Y57" s="6"/>
      <c r="Z57" s="6"/>
      <c r="AA57" s="6"/>
      <c r="AB57" s="6"/>
      <c r="AC57" s="91"/>
      <c r="AD57" s="6"/>
      <c r="AE57" s="6"/>
      <c r="AF57" s="6"/>
      <c r="AG57" s="6"/>
      <c r="AH57" s="91"/>
      <c r="AI57" s="6"/>
      <c r="AJ57" s="6"/>
      <c r="AK57" s="6"/>
    </row>
    <row r="58" spans="2:31" ht="12.75">
      <c r="B58" s="6"/>
      <c r="C58" s="6"/>
      <c r="D58" s="6"/>
      <c r="E58" s="92"/>
      <c r="F58" s="6"/>
      <c r="G58" s="6"/>
      <c r="H58" s="91"/>
      <c r="I58" s="6"/>
      <c r="J58" s="6"/>
      <c r="K58" s="6"/>
      <c r="L58" s="6"/>
      <c r="M58" s="6"/>
      <c r="N58" s="91"/>
      <c r="O58" s="6"/>
      <c r="P58" s="6"/>
      <c r="Q58" s="6"/>
      <c r="R58" s="6"/>
      <c r="S58" s="6"/>
      <c r="T58" s="6"/>
      <c r="U58" s="6"/>
      <c r="V58" s="6"/>
      <c r="W58" s="91"/>
      <c r="X58" s="6"/>
      <c r="Y58" s="6"/>
      <c r="Z58" s="6"/>
      <c r="AA58" s="6"/>
      <c r="AB58" s="91"/>
      <c r="AC58" s="6"/>
      <c r="AD58" s="6"/>
      <c r="AE58" s="6"/>
    </row>
    <row r="59" spans="2:37" ht="12.75">
      <c r="B59" s="6"/>
      <c r="C59" s="6"/>
      <c r="D59" s="6"/>
      <c r="E59" s="92"/>
      <c r="F59" s="6"/>
      <c r="G59" s="6"/>
      <c r="H59" s="91"/>
      <c r="I59" s="6"/>
      <c r="J59" s="6"/>
      <c r="K59" s="6"/>
      <c r="L59" s="6"/>
      <c r="M59" s="6"/>
      <c r="N59" s="91"/>
      <c r="O59" s="6"/>
      <c r="P59" s="6"/>
      <c r="Q59" s="6"/>
      <c r="R59" s="6"/>
      <c r="S59" s="6"/>
      <c r="T59" s="6"/>
      <c r="U59" s="91"/>
      <c r="V59" s="6"/>
      <c r="W59" s="6"/>
      <c r="X59" s="6"/>
      <c r="Y59" s="6"/>
      <c r="Z59" s="6"/>
      <c r="AA59" s="6"/>
      <c r="AB59" s="6"/>
      <c r="AC59" s="91"/>
      <c r="AD59" s="6"/>
      <c r="AE59" s="6"/>
      <c r="AF59" s="6"/>
      <c r="AG59" s="6"/>
      <c r="AH59" s="91"/>
      <c r="AI59" s="6"/>
      <c r="AJ59" s="6"/>
      <c r="AK59" s="6"/>
    </row>
    <row r="60" spans="2:37" ht="12.75">
      <c r="B60" s="6"/>
      <c r="C60" s="6"/>
      <c r="D60" s="6"/>
      <c r="E60" s="92"/>
      <c r="F60" s="6"/>
      <c r="G60" s="6"/>
      <c r="H60" s="91"/>
      <c r="I60" s="6"/>
      <c r="J60" s="6"/>
      <c r="K60" s="6"/>
      <c r="L60" s="6"/>
      <c r="M60" s="6"/>
      <c r="N60" s="91"/>
      <c r="O60" s="6"/>
      <c r="P60" s="6"/>
      <c r="Q60" s="6"/>
      <c r="R60" s="6"/>
      <c r="S60" s="6"/>
      <c r="T60" s="6"/>
      <c r="U60" s="91"/>
      <c r="V60" s="6"/>
      <c r="W60" s="6"/>
      <c r="X60" s="6"/>
      <c r="Y60" s="6"/>
      <c r="Z60" s="6"/>
      <c r="AA60" s="6"/>
      <c r="AB60" s="6"/>
      <c r="AC60" s="91"/>
      <c r="AD60" s="6"/>
      <c r="AE60" s="6"/>
      <c r="AF60" s="6"/>
      <c r="AG60" s="6"/>
      <c r="AH60" s="91"/>
      <c r="AI60" s="6"/>
      <c r="AJ60" s="6"/>
      <c r="AK60" s="6"/>
    </row>
    <row r="61" spans="2:37" ht="12.75" customHeight="1">
      <c r="B61" s="6"/>
      <c r="C61" s="6"/>
      <c r="D61" s="6"/>
      <c r="E61" s="92"/>
      <c r="F61" s="6"/>
      <c r="G61" s="6"/>
      <c r="H61" s="91"/>
      <c r="I61" s="6"/>
      <c r="J61" s="6"/>
      <c r="K61" s="6"/>
      <c r="L61" s="6"/>
      <c r="M61" s="6"/>
      <c r="N61" s="91"/>
      <c r="O61" s="6"/>
      <c r="P61" s="6"/>
      <c r="Q61" s="6"/>
      <c r="R61" s="6"/>
      <c r="S61" s="6"/>
      <c r="T61" s="6"/>
      <c r="U61" s="91"/>
      <c r="V61" s="6"/>
      <c r="W61" s="6"/>
      <c r="X61" s="6"/>
      <c r="Y61" s="6"/>
      <c r="Z61" s="6"/>
      <c r="AA61" s="6"/>
      <c r="AB61" s="6"/>
      <c r="AC61" s="91"/>
      <c r="AD61" s="6"/>
      <c r="AE61" s="6"/>
      <c r="AF61" s="6"/>
      <c r="AG61" s="6"/>
      <c r="AH61" s="91"/>
      <c r="AI61" s="6"/>
      <c r="AJ61" s="6"/>
      <c r="AK61" s="6"/>
    </row>
    <row r="62" spans="2:37" ht="12.75">
      <c r="B62" s="6"/>
      <c r="C62" s="6"/>
      <c r="D62" s="6"/>
      <c r="E62" s="6"/>
      <c r="F62" s="92"/>
      <c r="G62" s="6"/>
      <c r="H62" s="6"/>
      <c r="I62" s="91"/>
      <c r="J62" s="6"/>
      <c r="K62" s="6"/>
      <c r="L62" s="6"/>
      <c r="M62" s="6"/>
      <c r="N62" s="6"/>
      <c r="O62" s="91"/>
      <c r="P62" s="6"/>
      <c r="Q62" s="6"/>
      <c r="R62" s="6"/>
      <c r="S62" s="6"/>
      <c r="T62" s="6"/>
      <c r="U62" s="91"/>
      <c r="V62" s="6"/>
      <c r="W62" s="6"/>
      <c r="X62" s="6"/>
      <c r="Y62" s="6"/>
      <c r="Z62" s="6"/>
      <c r="AA62" s="6"/>
      <c r="AB62" s="6"/>
      <c r="AC62" s="91"/>
      <c r="AD62" s="6"/>
      <c r="AE62" s="6"/>
      <c r="AF62" s="6"/>
      <c r="AG62" s="6"/>
      <c r="AH62" s="91"/>
      <c r="AI62" s="6"/>
      <c r="AJ62" s="6"/>
      <c r="AK62" s="6"/>
    </row>
    <row r="63" spans="2:37" ht="12.75">
      <c r="B63" s="6"/>
      <c r="C63" s="6"/>
      <c r="D63" s="6"/>
      <c r="E63" s="6"/>
      <c r="F63" s="92"/>
      <c r="G63" s="6"/>
      <c r="H63" s="6"/>
      <c r="I63" s="91"/>
      <c r="J63" s="6"/>
      <c r="K63" s="6"/>
      <c r="L63" s="6"/>
      <c r="M63" s="6"/>
      <c r="N63" s="6"/>
      <c r="O63" s="91"/>
      <c r="P63" s="6"/>
      <c r="Q63" s="6"/>
      <c r="R63" s="6"/>
      <c r="S63" s="6"/>
      <c r="T63" s="6"/>
      <c r="U63" s="91"/>
      <c r="V63" s="6"/>
      <c r="W63" s="6"/>
      <c r="X63" s="6"/>
      <c r="Y63" s="6"/>
      <c r="Z63" s="6"/>
      <c r="AA63" s="6"/>
      <c r="AB63" s="6"/>
      <c r="AC63" s="91"/>
      <c r="AD63" s="6"/>
      <c r="AE63" s="6"/>
      <c r="AF63" s="6"/>
      <c r="AG63" s="6"/>
      <c r="AH63" s="91"/>
      <c r="AI63" s="6"/>
      <c r="AJ63" s="6"/>
      <c r="AK63" s="6"/>
    </row>
    <row r="64" spans="2:37" ht="12.75">
      <c r="B64" s="6"/>
      <c r="C64" s="6"/>
      <c r="D64" s="6"/>
      <c r="E64" s="6"/>
      <c r="F64" s="92"/>
      <c r="G64" s="6"/>
      <c r="H64" s="6"/>
      <c r="I64" s="91"/>
      <c r="J64" s="6"/>
      <c r="K64" s="6"/>
      <c r="L64" s="6"/>
      <c r="M64" s="6"/>
      <c r="N64" s="6"/>
      <c r="O64" s="91"/>
      <c r="P64" s="6"/>
      <c r="Q64" s="6"/>
      <c r="R64" s="6"/>
      <c r="S64" s="6"/>
      <c r="T64" s="6"/>
      <c r="U64" s="91"/>
      <c r="V64" s="6"/>
      <c r="W64" s="6"/>
      <c r="X64" s="6"/>
      <c r="Y64" s="6"/>
      <c r="Z64" s="6"/>
      <c r="AA64" s="6"/>
      <c r="AB64" s="6"/>
      <c r="AC64" s="91"/>
      <c r="AD64" s="6"/>
      <c r="AE64" s="6"/>
      <c r="AF64" s="6"/>
      <c r="AG64" s="6"/>
      <c r="AH64" s="91"/>
      <c r="AI64" s="6"/>
      <c r="AJ64" s="6"/>
      <c r="AK64" s="6"/>
    </row>
    <row r="65" spans="2:37" ht="12.75">
      <c r="B65" s="6"/>
      <c r="C65" s="6"/>
      <c r="D65" s="6"/>
      <c r="E65" s="6"/>
      <c r="F65" s="92"/>
      <c r="G65" s="6"/>
      <c r="H65" s="6"/>
      <c r="I65" s="91"/>
      <c r="J65" s="6"/>
      <c r="K65" s="6"/>
      <c r="L65" s="6"/>
      <c r="M65" s="6"/>
      <c r="N65" s="6"/>
      <c r="O65" s="91"/>
      <c r="P65" s="6"/>
      <c r="Q65" s="6"/>
      <c r="R65" s="6"/>
      <c r="S65" s="6"/>
      <c r="T65" s="6"/>
      <c r="U65" s="91"/>
      <c r="V65" s="6"/>
      <c r="W65" s="6"/>
      <c r="X65" s="6"/>
      <c r="Y65" s="6"/>
      <c r="Z65" s="6"/>
      <c r="AA65" s="6"/>
      <c r="AB65" s="6"/>
      <c r="AC65" s="91"/>
      <c r="AD65" s="6"/>
      <c r="AE65" s="6"/>
      <c r="AF65" s="6"/>
      <c r="AG65" s="6"/>
      <c r="AH65" s="91"/>
      <c r="AI65" s="6"/>
      <c r="AJ65" s="6"/>
      <c r="AK65" s="6"/>
    </row>
    <row r="66" spans="2:37" ht="12.75">
      <c r="B66" s="6"/>
      <c r="C66" s="6"/>
      <c r="D66" s="6"/>
      <c r="E66" s="6"/>
      <c r="F66" s="92"/>
      <c r="G66" s="6"/>
      <c r="H66" s="6"/>
      <c r="I66" s="91"/>
      <c r="J66" s="6"/>
      <c r="K66" s="6"/>
      <c r="L66" s="6"/>
      <c r="M66" s="6"/>
      <c r="N66" s="6"/>
      <c r="O66" s="91"/>
      <c r="P66" s="6"/>
      <c r="Q66" s="6"/>
      <c r="R66" s="6"/>
      <c r="S66" s="6"/>
      <c r="T66" s="6"/>
      <c r="U66" s="91"/>
      <c r="V66" s="6"/>
      <c r="W66" s="6"/>
      <c r="X66" s="6"/>
      <c r="Y66" s="6"/>
      <c r="Z66" s="6"/>
      <c r="AA66" s="6"/>
      <c r="AB66" s="6"/>
      <c r="AC66" s="91"/>
      <c r="AD66" s="6"/>
      <c r="AE66" s="6"/>
      <c r="AF66" s="6"/>
      <c r="AG66" s="6"/>
      <c r="AH66" s="91"/>
      <c r="AI66" s="6"/>
      <c r="AJ66" s="6"/>
      <c r="AK66" s="6"/>
    </row>
    <row r="67" spans="2:37" ht="12.75">
      <c r="B67" s="6"/>
      <c r="C67" s="6"/>
      <c r="D67" s="6"/>
      <c r="E67" s="6"/>
      <c r="F67" s="92"/>
      <c r="G67" s="6"/>
      <c r="H67" s="6"/>
      <c r="I67" s="91"/>
      <c r="J67" s="6"/>
      <c r="K67" s="6"/>
      <c r="L67" s="6"/>
      <c r="M67" s="6"/>
      <c r="N67" s="6"/>
      <c r="O67" s="91"/>
      <c r="P67" s="6"/>
      <c r="Q67" s="6"/>
      <c r="R67" s="6"/>
      <c r="S67" s="6"/>
      <c r="T67" s="6"/>
      <c r="U67" s="91"/>
      <c r="V67" s="6"/>
      <c r="W67" s="6"/>
      <c r="X67" s="6"/>
      <c r="Y67" s="6"/>
      <c r="Z67" s="6"/>
      <c r="AA67" s="6"/>
      <c r="AB67" s="6"/>
      <c r="AC67" s="91"/>
      <c r="AD67" s="6"/>
      <c r="AE67" s="6"/>
      <c r="AF67" s="6"/>
      <c r="AG67" s="6"/>
      <c r="AH67" s="91"/>
      <c r="AI67" s="6"/>
      <c r="AJ67" s="6"/>
      <c r="AK67" s="6"/>
    </row>
    <row r="68" spans="2:37" ht="12.75">
      <c r="B68" s="6"/>
      <c r="C68" s="6"/>
      <c r="D68" s="6"/>
      <c r="E68" s="6"/>
      <c r="F68" s="92"/>
      <c r="G68" s="6"/>
      <c r="H68" s="6"/>
      <c r="I68" s="91"/>
      <c r="J68" s="6"/>
      <c r="K68" s="6"/>
      <c r="L68" s="6"/>
      <c r="M68" s="6"/>
      <c r="N68" s="6"/>
      <c r="O68" s="91"/>
      <c r="P68" s="6"/>
      <c r="Q68" s="6"/>
      <c r="R68" s="6"/>
      <c r="S68" s="6"/>
      <c r="T68" s="6"/>
      <c r="U68" s="91"/>
      <c r="V68" s="6"/>
      <c r="W68" s="6"/>
      <c r="X68" s="6"/>
      <c r="Y68" s="6"/>
      <c r="Z68" s="6"/>
      <c r="AA68" s="6"/>
      <c r="AB68" s="6"/>
      <c r="AC68" s="91"/>
      <c r="AD68" s="6"/>
      <c r="AE68" s="6"/>
      <c r="AF68" s="6"/>
      <c r="AG68" s="6"/>
      <c r="AH68" s="91"/>
      <c r="AI68" s="6"/>
      <c r="AJ68" s="6"/>
      <c r="AK68" s="6"/>
    </row>
    <row r="69" spans="2:37" ht="12.75">
      <c r="B69" s="6"/>
      <c r="C69" s="6"/>
      <c r="D69" s="6"/>
      <c r="E69" s="6"/>
      <c r="F69" s="92"/>
      <c r="G69" s="6"/>
      <c r="H69" s="6"/>
      <c r="I69" s="91"/>
      <c r="J69" s="6"/>
      <c r="K69" s="6"/>
      <c r="L69" s="6"/>
      <c r="M69" s="6"/>
      <c r="N69" s="6"/>
      <c r="O69" s="91"/>
      <c r="P69" s="6"/>
      <c r="Q69" s="6"/>
      <c r="R69" s="6"/>
      <c r="S69" s="6"/>
      <c r="T69" s="6"/>
      <c r="U69" s="91"/>
      <c r="V69" s="6"/>
      <c r="W69" s="6"/>
      <c r="X69" s="6"/>
      <c r="Y69" s="6"/>
      <c r="Z69" s="6"/>
      <c r="AA69" s="6"/>
      <c r="AB69" s="6"/>
      <c r="AC69" s="91"/>
      <c r="AD69" s="6"/>
      <c r="AE69" s="6"/>
      <c r="AF69" s="6"/>
      <c r="AG69" s="6"/>
      <c r="AH69" s="91"/>
      <c r="AI69" s="6"/>
      <c r="AJ69" s="6"/>
      <c r="AK69" s="6"/>
    </row>
    <row r="70" spans="2:37" ht="12.75">
      <c r="B70" s="6"/>
      <c r="C70" s="6"/>
      <c r="D70" s="6"/>
      <c r="E70" s="6"/>
      <c r="F70" s="92"/>
      <c r="G70" s="6"/>
      <c r="H70" s="6"/>
      <c r="I70" s="91"/>
      <c r="J70" s="6"/>
      <c r="K70" s="6"/>
      <c r="L70" s="6"/>
      <c r="M70" s="6"/>
      <c r="N70" s="6"/>
      <c r="O70" s="91"/>
      <c r="P70" s="6"/>
      <c r="Q70" s="6"/>
      <c r="R70" s="6"/>
      <c r="S70" s="6"/>
      <c r="T70" s="6"/>
      <c r="U70" s="91"/>
      <c r="V70" s="6"/>
      <c r="W70" s="6"/>
      <c r="X70" s="6"/>
      <c r="Y70" s="6"/>
      <c r="Z70" s="6"/>
      <c r="AA70" s="6"/>
      <c r="AB70" s="6"/>
      <c r="AC70" s="91"/>
      <c r="AD70" s="6"/>
      <c r="AE70" s="6"/>
      <c r="AF70" s="6"/>
      <c r="AG70" s="6"/>
      <c r="AH70" s="91"/>
      <c r="AI70" s="6"/>
      <c r="AJ70" s="6"/>
      <c r="AK70" s="6"/>
    </row>
    <row r="71" spans="2:37" ht="12.75">
      <c r="B71" s="6"/>
      <c r="C71" s="6"/>
      <c r="D71" s="6"/>
      <c r="E71" s="6"/>
      <c r="F71" s="92"/>
      <c r="G71" s="6"/>
      <c r="H71" s="6"/>
      <c r="I71" s="6"/>
      <c r="J71" s="6"/>
      <c r="K71" s="6"/>
      <c r="L71" s="6"/>
      <c r="M71" s="6"/>
      <c r="N71" s="6"/>
      <c r="O71" s="6"/>
      <c r="P71" s="6"/>
      <c r="Q71" s="6"/>
      <c r="R71" s="6"/>
      <c r="S71" s="6"/>
      <c r="T71" s="6"/>
      <c r="U71" s="6"/>
      <c r="V71" s="6"/>
      <c r="W71" s="6"/>
      <c r="X71" s="6"/>
      <c r="Y71" s="6"/>
      <c r="Z71" s="6"/>
      <c r="AA71" s="6"/>
      <c r="AB71" s="6"/>
      <c r="AC71" s="91"/>
      <c r="AD71" s="6"/>
      <c r="AE71" s="6"/>
      <c r="AF71" s="6"/>
      <c r="AG71" s="6"/>
      <c r="AH71" s="91"/>
      <c r="AI71" s="6"/>
      <c r="AJ71" s="6"/>
      <c r="AK71" s="6"/>
    </row>
    <row r="72" spans="2:37" ht="12.75">
      <c r="B72" s="6"/>
      <c r="C72" s="6"/>
      <c r="D72" s="6"/>
      <c r="E72" s="6"/>
      <c r="F72" s="92"/>
      <c r="G72" s="6"/>
      <c r="H72" s="6"/>
      <c r="I72" s="6"/>
      <c r="J72" s="6"/>
      <c r="K72" s="6"/>
      <c r="L72" s="6"/>
      <c r="M72" s="6"/>
      <c r="N72" s="6"/>
      <c r="O72" s="6"/>
      <c r="P72" s="6"/>
      <c r="Q72" s="6"/>
      <c r="R72" s="6"/>
      <c r="S72" s="6"/>
      <c r="T72" s="6"/>
      <c r="U72" s="6"/>
      <c r="V72" s="6"/>
      <c r="W72" s="6"/>
      <c r="X72" s="6"/>
      <c r="Y72" s="6"/>
      <c r="Z72" s="6"/>
      <c r="AA72" s="6"/>
      <c r="AB72" s="6"/>
      <c r="AC72" s="91"/>
      <c r="AD72" s="6"/>
      <c r="AE72" s="6"/>
      <c r="AF72" s="6"/>
      <c r="AH72" s="6"/>
      <c r="AI72" s="91"/>
      <c r="AJ72" s="6"/>
      <c r="AK72" s="6"/>
    </row>
    <row r="73" spans="2:37" ht="12.75">
      <c r="B73" s="6"/>
      <c r="C73" s="6"/>
      <c r="D73" s="6"/>
      <c r="E73" s="6"/>
      <c r="F73" s="92"/>
      <c r="G73" s="6"/>
      <c r="H73" s="6"/>
      <c r="I73" s="6"/>
      <c r="J73" s="6"/>
      <c r="K73" s="6"/>
      <c r="L73" s="6"/>
      <c r="M73" s="6"/>
      <c r="N73" s="6"/>
      <c r="O73" s="6"/>
      <c r="P73" s="6"/>
      <c r="Q73" s="6"/>
      <c r="R73" s="6"/>
      <c r="S73" s="6"/>
      <c r="T73" s="6"/>
      <c r="U73" s="6"/>
      <c r="V73" s="6"/>
      <c r="W73" s="6"/>
      <c r="X73" s="6"/>
      <c r="Y73" s="6"/>
      <c r="Z73" s="6"/>
      <c r="AA73" s="6"/>
      <c r="AB73" s="6"/>
      <c r="AC73" s="91"/>
      <c r="AD73" s="6"/>
      <c r="AE73" s="6"/>
      <c r="AF73" s="6"/>
      <c r="AG73" s="6"/>
      <c r="AH73" s="6"/>
      <c r="AI73" s="6"/>
      <c r="AJ73" s="6"/>
      <c r="AK73" s="91"/>
    </row>
    <row r="74" spans="3:8" ht="12.75">
      <c r="C74" s="6"/>
      <c r="D74" s="6"/>
      <c r="E74" s="6"/>
      <c r="F74" s="93"/>
      <c r="G74" s="6"/>
      <c r="H74" s="6"/>
    </row>
  </sheetData>
  <mergeCells count="3">
    <mergeCell ref="H4:L4"/>
    <mergeCell ref="N4:R4"/>
    <mergeCell ref="U46:U47"/>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République Française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Modèle de squeeze téléphonie fixe</dc:title>
  <dc:subject/>
  <dc:creator>ARCEP</dc:creator>
  <cp:keywords/>
  <dc:description/>
  <cp:lastModifiedBy>Jeremiah JUTS</cp:lastModifiedBy>
  <cp:lastPrinted>2006-01-24T14:27:43Z</cp:lastPrinted>
  <dcterms:created xsi:type="dcterms:W3CDTF">2005-09-05T13:01:49Z</dcterms:created>
  <dcterms:modified xsi:type="dcterms:W3CDTF">2006-03-23T15:55:30Z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