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Avertissement" sheetId="1" r:id="rId1"/>
    <sheet name="Offres de références" sheetId="2" r:id="rId2"/>
    <sheet name="Hypothèses et paramètres" sheetId="3" r:id="rId3"/>
    <sheet name="Calculs" sheetId="4" r:id="rId4"/>
    <sheet name="Synthèse" sheetId="5" r:id="rId5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<sst xmlns="http://schemas.openxmlformats.org/spreadsheetml/2006/main" count="507" uniqueCount="242">
  <si>
    <t>Ligne</t>
  </si>
  <si>
    <t>Offre Mars 2005</t>
  </si>
  <si>
    <t>FAS Partiel</t>
  </si>
  <si>
    <t>FAS Total</t>
  </si>
  <si>
    <t>Frais de résilliation Partiel</t>
  </si>
  <si>
    <t>Frais de résilliation Total</t>
  </si>
  <si>
    <t>Tarif mensuel accès partagé</t>
  </si>
  <si>
    <t>Tarif mensuel filtrage</t>
  </si>
  <si>
    <t>Tarif mensuel accès total</t>
  </si>
  <si>
    <t>Frais de commande non conforme</t>
  </si>
  <si>
    <t>Accès du personnel autorisé</t>
  </si>
  <si>
    <t>Coût fixe de l'accès du personnel autorisé</t>
  </si>
  <si>
    <t>Salles de cohabitation</t>
  </si>
  <si>
    <t>Emplacement baie</t>
  </si>
  <si>
    <t>Frais d'aménagement</t>
  </si>
  <si>
    <t>Sur devis</t>
  </si>
  <si>
    <t>Frais de mise à disposition d'un emplacement</t>
  </si>
  <si>
    <t>Redevance mensuelle zone 1</t>
  </si>
  <si>
    <t>Redevance mensuelle zone 2</t>
  </si>
  <si>
    <t>Redevance mensuelle zone 3</t>
  </si>
  <si>
    <t>Redevance mensuelle zone 4</t>
  </si>
  <si>
    <t>Redevance mensuelle zone 5</t>
  </si>
  <si>
    <t>Charges annuelles spécifiques par emplacement pour les salles de cohabitation</t>
  </si>
  <si>
    <t>Energie 48V et Climatisation (achat climatisation par opérateurs)</t>
  </si>
  <si>
    <t>Tarifs mensuels par kW fourni</t>
  </si>
  <si>
    <t>Tarifs mensuels par kW fourni avec ventilation</t>
  </si>
  <si>
    <t>Tarifs mensuels par kW fourni avec climatisation</t>
  </si>
  <si>
    <t>Tarif de modification de la puissance commandée</t>
  </si>
  <si>
    <t>Tarifs mensuels Câbles de renvois L804 4/10 (câble le plus courammant utilisé)</t>
  </si>
  <si>
    <t>1 module (€ par mois)</t>
  </si>
  <si>
    <t>2 modules (€ par mois)</t>
  </si>
  <si>
    <t>3 modules (€ par mois)</t>
  </si>
  <si>
    <t>4 modules (€ par mois)</t>
  </si>
  <si>
    <t>5 modules (€ par mois)</t>
  </si>
  <si>
    <t>6 modules (€ par mois)</t>
  </si>
  <si>
    <t>7 modules (€ par mois)</t>
  </si>
  <si>
    <t>8 modules (€ par mois)</t>
  </si>
  <si>
    <t>9 modules (€ par mois)</t>
  </si>
  <si>
    <t>FAS Câbles de renvois L804 4/10</t>
  </si>
  <si>
    <t>Uniformisation du tarif des câbles de renvoi sous la forme d'un tarif mensuel</t>
  </si>
  <si>
    <t>(FAS mensualisé)</t>
  </si>
  <si>
    <t>1 module</t>
  </si>
  <si>
    <t>2 modules</t>
  </si>
  <si>
    <t>3 modules</t>
  </si>
  <si>
    <t>4 modules</t>
  </si>
  <si>
    <t>5 modules</t>
  </si>
  <si>
    <t>6 modules</t>
  </si>
  <si>
    <t>7 modules</t>
  </si>
  <si>
    <t>8 modules</t>
  </si>
  <si>
    <t>9 modules</t>
  </si>
  <si>
    <t>Lissage des coûts des câbles de renvoi (coût par paire)</t>
  </si>
  <si>
    <t>coût mensuel indépendant du nombre d'accès</t>
  </si>
  <si>
    <t>coût mensuel par accès</t>
  </si>
  <si>
    <t>Espaces dédiés</t>
  </si>
  <si>
    <t>Tarif par emplacement mis à disposition de l’opérateur</t>
  </si>
  <si>
    <t>Redevance mensuelle zone  5</t>
  </si>
  <si>
    <t>Demi Emplacement</t>
  </si>
  <si>
    <t>Energie 48V et Climatisation</t>
  </si>
  <si>
    <t>Climatisation ou venilation France Télécom</t>
  </si>
  <si>
    <t>Prix mensuel par emplacement équipé à 2 kW</t>
  </si>
  <si>
    <t>Prix mensuel par emplacement équipé à 2 kW avec ventilation</t>
  </si>
  <si>
    <t>Prix mensuel par emplacement équipé à 2 kW avec climatisation</t>
  </si>
  <si>
    <t>Prix mensuel par emplacement équipé à 4 kW</t>
  </si>
  <si>
    <t>Prix mensuel par emplacement équipé à 4 kW avec ventilation</t>
  </si>
  <si>
    <t>Prix mensuel par emplacement équipé à 4 kW avec climatisation</t>
  </si>
  <si>
    <t>Prix mensuel par kW commandé</t>
  </si>
  <si>
    <t>Prix mensuel par kW commandé avec ventilation</t>
  </si>
  <si>
    <t>Prix mensuel par kW commandé avec cilmatisation</t>
  </si>
  <si>
    <t>Climatisation opérateurs tiers</t>
  </si>
  <si>
    <t>Tarifs mensuels Câbles de renvoi L804 4/10</t>
  </si>
  <si>
    <t>FAS Câbles de renvoi L804 4/10</t>
  </si>
  <si>
    <t>(tarif mensuel de l'offre + FAS mensualisés)</t>
  </si>
  <si>
    <t>Emplacement Tres Petit Site</t>
  </si>
  <si>
    <t>Prix mensuel par emplacement équipé à 1 kW</t>
  </si>
  <si>
    <t>Prix mensuel par emplacement équipé à 1 kW avec ventilation</t>
  </si>
  <si>
    <t>Tarifs mensuels reglettes de renvoi 128 paires</t>
  </si>
  <si>
    <t>LIB (A2)</t>
  </si>
  <si>
    <t>Salle, Espace, 1/2 emplacement</t>
  </si>
  <si>
    <t>Frais d'accès au service (€)</t>
  </si>
  <si>
    <t>Abonnement (€ par mois)</t>
  </si>
  <si>
    <t>Très Petits Sites</t>
  </si>
  <si>
    <t>Offre de référence</t>
  </si>
  <si>
    <t>Type de dégroupage</t>
  </si>
  <si>
    <t>Carractéristiques du répartiteur</t>
  </si>
  <si>
    <t>Taille du répartiteur (nb LP)</t>
  </si>
  <si>
    <t>Environnement de cohabitation</t>
  </si>
  <si>
    <t>Type de Zone</t>
  </si>
  <si>
    <t>Nombre de modules</t>
  </si>
  <si>
    <t>Rafraîchissement d'air</t>
  </si>
  <si>
    <t>Carractéristiques du marché</t>
  </si>
  <si>
    <t>Taux de pénétration du DSL</t>
  </si>
  <si>
    <t>Part de marché de l'opérateur sur le marché du DSL</t>
  </si>
  <si>
    <t>Taux de croissance mensuel du dégroupage</t>
  </si>
  <si>
    <t>Durée d'amortissement des FAS (ans)</t>
  </si>
  <si>
    <t>Durée d'amortissement Frais de résilliation (ans)</t>
  </si>
  <si>
    <t>Taux de résilliations facturées</t>
  </si>
  <si>
    <t>Taux de commande non conforme</t>
  </si>
  <si>
    <t>Cohabitation des équipements</t>
  </si>
  <si>
    <t>Coût salle (€ par emplacement et par salle)</t>
  </si>
  <si>
    <t>Durée d'amortissement des salles (ans)</t>
  </si>
  <si>
    <t>Emplacement de baie</t>
  </si>
  <si>
    <t>Durée d'amortissement des frais d'accès emplacement baie (ans)</t>
  </si>
  <si>
    <t>Nombre de DSLAM par emplacement 600 x 600</t>
  </si>
  <si>
    <t>Nombre de DSLAM par emplacement 300 x 600</t>
  </si>
  <si>
    <t>Câbles de renvois</t>
  </si>
  <si>
    <t>Durée d'amortissement FAS Câbles de renvoi (ans)</t>
  </si>
  <si>
    <t>Avance de phase (nombre de mois)</t>
  </si>
  <si>
    <t>Nombre de LIB par opérateur</t>
  </si>
  <si>
    <t xml:space="preserve">Climatisatiseur </t>
  </si>
  <si>
    <t>Coût achat et installation climatiseur pour une salle de cohabitation (€)</t>
  </si>
  <si>
    <t>Coût achat et installation climatiseur pour un espace dédié (€)</t>
  </si>
  <si>
    <t>Durée d'amortissement des climatiseurs (ans)</t>
  </si>
  <si>
    <t>Maintenance (4h/mois) (€/an)</t>
  </si>
  <si>
    <t>Energie</t>
  </si>
  <si>
    <t>Consommation par accès (W)</t>
  </si>
  <si>
    <t>Nombre annuel de modifications de la puissance commandée</t>
  </si>
  <si>
    <t>DSLAM</t>
  </si>
  <si>
    <t>Coûts achat DSLAM année N (€)</t>
  </si>
  <si>
    <t>Coût par port du DSLAM</t>
  </si>
  <si>
    <t>Capacité du DSLAM</t>
  </si>
  <si>
    <t>Durée de vie (années)</t>
  </si>
  <si>
    <t>Coût de maintenance (% de l'I)</t>
  </si>
  <si>
    <t>Coût du capital</t>
  </si>
  <si>
    <t>Taux de rémunération du capital</t>
  </si>
  <si>
    <t>Taux de progrès technique</t>
  </si>
  <si>
    <t>Coûts propres de l'opérateur</t>
  </si>
  <si>
    <t>coûts communs (% des coûts techniques hors reversements à France Télécom)</t>
  </si>
  <si>
    <t>coûts d'ingénierie (% des reversements à France Télécom)</t>
  </si>
  <si>
    <t>Clim</t>
  </si>
  <si>
    <t>Total</t>
  </si>
  <si>
    <t>Oui</t>
  </si>
  <si>
    <t>Aucun</t>
  </si>
  <si>
    <t>Partiel</t>
  </si>
  <si>
    <t>Non</t>
  </si>
  <si>
    <t>Ventilation</t>
  </si>
  <si>
    <t>Clim France Télécom</t>
  </si>
  <si>
    <t>Clim opérateur</t>
  </si>
  <si>
    <t>Salle</t>
  </si>
  <si>
    <t>Espace</t>
  </si>
  <si>
    <t>Très Petits Site</t>
  </si>
  <si>
    <t>Dénombrements (pour mémoire)</t>
  </si>
  <si>
    <t>Nombre de lignes dégroupées par l'opérateur</t>
  </si>
  <si>
    <t>Nb de DSLAM nécessaires à la consommation courante</t>
  </si>
  <si>
    <t>Nb de DSLAM installés</t>
  </si>
  <si>
    <t>Nombre d'emplacements nécessaires à la consommation courante</t>
  </si>
  <si>
    <t>Nombre d'emplacements installés</t>
  </si>
  <si>
    <t>Nombre de câbles ou reglettes de renvoi nécessaires à la consommation courante</t>
  </si>
  <si>
    <t>Nombre de câbles ou reglettes de renvoi installés</t>
  </si>
  <si>
    <t xml:space="preserve">Nombre de LIB </t>
  </si>
  <si>
    <t>Paramètres "financiers"</t>
  </si>
  <si>
    <t>Taux composite</t>
  </si>
  <si>
    <t>Paramètre de mensualisation des FAS de ligne</t>
  </si>
  <si>
    <t>Paramètre de mensualisation des FAS des équipements</t>
  </si>
  <si>
    <t xml:space="preserve">Ligne </t>
  </si>
  <si>
    <t>Coût total Mensuel</t>
  </si>
  <si>
    <t>Coût/mois/accès</t>
  </si>
  <si>
    <t>FAS mensualisés</t>
  </si>
  <si>
    <t>€/mois</t>
  </si>
  <si>
    <t>Frais de résilliation mensualisés</t>
  </si>
  <si>
    <t>Frais de commande non conforme mensualisés</t>
  </si>
  <si>
    <t>Coût total des lignes</t>
  </si>
  <si>
    <t>Annuité</t>
  </si>
  <si>
    <t>€/an/DSLAM</t>
  </si>
  <si>
    <t>Coût de maintenance</t>
  </si>
  <si>
    <t>équivalent FAS annuel mensualisé</t>
  </si>
  <si>
    <t>coût variable du DSLAM à la ligne mensualisé</t>
  </si>
  <si>
    <t>€/mois/ligne</t>
  </si>
  <si>
    <t>coût du DSLAM pour l'ensemble des lignes</t>
  </si>
  <si>
    <t>coût total DSLAM mensuel</t>
  </si>
  <si>
    <t>Coût des emplacements dans les salles de cohabitation</t>
  </si>
  <si>
    <t>Coût annualisé de construction de la salle par emplacement</t>
  </si>
  <si>
    <t>€/an/emplacement</t>
  </si>
  <si>
    <t>Contribution mensualisée à la construction de la salle de cohabitation</t>
  </si>
  <si>
    <t>FAS mensualisés de mise à disposition des emplacements</t>
  </si>
  <si>
    <t>Location mensuelle de l'emplacement</t>
  </si>
  <si>
    <t>Câbles de renvoi L804 4/10</t>
  </si>
  <si>
    <t>récurrent 1 module (€ par mois)</t>
  </si>
  <si>
    <t>récurrent 2 module (€ par mois)</t>
  </si>
  <si>
    <t>récurrent 3 module (€ par mois)</t>
  </si>
  <si>
    <t>récurrent 4 module (€ par mois)</t>
  </si>
  <si>
    <t>récurrent 5 module (€ par mois)</t>
  </si>
  <si>
    <t>récurrent 6 module (€ par mois)</t>
  </si>
  <si>
    <t>récurrent 7 module (€ par mois)</t>
  </si>
  <si>
    <t>récurrent 8 module (€ par mois)</t>
  </si>
  <si>
    <t>récurrent 9 module (€ par mois)</t>
  </si>
  <si>
    <t>Redevance mensuelle pour les câbles de renvois</t>
  </si>
  <si>
    <t>Climatisation</t>
  </si>
  <si>
    <t>Climatisation (achat, installation, maintenance)</t>
  </si>
  <si>
    <t>Energie 48V</t>
  </si>
  <si>
    <t>Consommation effective</t>
  </si>
  <si>
    <t>Watts</t>
  </si>
  <si>
    <t>Coût variable mensuel du Watt</t>
  </si>
  <si>
    <t>€/kW/mois</t>
  </si>
  <si>
    <t>Coût mensuel de l'énergie consommée</t>
  </si>
  <si>
    <t>FAS énergie mensualisés</t>
  </si>
  <si>
    <t>Coût total mensualisé</t>
  </si>
  <si>
    <t>Sous total salles</t>
  </si>
  <si>
    <t>Coût des emplacements 600 x 600</t>
  </si>
  <si>
    <t>Coût des emplacements 300 x 600</t>
  </si>
  <si>
    <t>Câbles de renvois L804 4/10</t>
  </si>
  <si>
    <t>Redevance mensuelle pour les câbles de renvoi</t>
  </si>
  <si>
    <t>Coût variable mensuel du KiloWatt</t>
  </si>
  <si>
    <t>€/mois/kW</t>
  </si>
  <si>
    <t>Coût mensuel variable</t>
  </si>
  <si>
    <t>Sous total espace</t>
  </si>
  <si>
    <t>Emplacement très petit site</t>
  </si>
  <si>
    <t>Coût des emplacements</t>
  </si>
  <si>
    <t>Reglettes de renvoi</t>
  </si>
  <si>
    <t>Coût fixe mensuel</t>
  </si>
  <si>
    <t>Coût variable mensuel</t>
  </si>
  <si>
    <t>Coût total mensuel</t>
  </si>
  <si>
    <t>Sous total Emplacement Très Petits Sites</t>
  </si>
  <si>
    <t>LIB</t>
  </si>
  <si>
    <t>Redevance mensuelle</t>
  </si>
  <si>
    <t>Coût total des LIBs</t>
  </si>
  <si>
    <t>Accès personnels autorisés</t>
  </si>
  <si>
    <t>Tarif mensuel</t>
  </si>
  <si>
    <t>Total des coûts techniques</t>
  </si>
  <si>
    <t>Coût/mois</t>
  </si>
  <si>
    <t>Coûts d'ingénierie</t>
  </si>
  <si>
    <t>Contribution aux coûts communs</t>
  </si>
  <si>
    <t>Coût total</t>
  </si>
  <si>
    <t>Rappel des hypothèses</t>
  </si>
  <si>
    <t xml:space="preserve">Taille du répartiteur </t>
  </si>
  <si>
    <t>Salle ou Espace</t>
  </si>
  <si>
    <t>Part de marché de l'opérateur</t>
  </si>
  <si>
    <t>Actifs immobilisés</t>
  </si>
  <si>
    <t xml:space="preserve">DSLAM (€) </t>
  </si>
  <si>
    <t>Climatiseur  (€)</t>
  </si>
  <si>
    <t>Frais Non Récurrents</t>
  </si>
  <si>
    <t>Liés à l'emplacement</t>
  </si>
  <si>
    <t>FAS cohabitation</t>
  </si>
  <si>
    <t>FAS environnement (câble, LIB, énergie...)</t>
  </si>
  <si>
    <t>Liés à la ligne</t>
  </si>
  <si>
    <t>"FAS" lignes  : FAS+ provision pour frais de résiliation + frais de commande non conforme</t>
  </si>
  <si>
    <t>Frais récurents</t>
  </si>
  <si>
    <t>récurent cohabitation</t>
  </si>
  <si>
    <t>récurrent environnement (LIB, câbles, énergie, badges…)</t>
  </si>
  <si>
    <t>TOTAL hors contribution aux coûts propres de l'opérateur</t>
  </si>
  <si>
    <t>Contribution aux coûts propres de l'opérateur</t>
  </si>
  <si>
    <t>TOTAL</t>
  </si>
  <si>
    <t>Offre septembre 2008</t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</si>
</sst>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  <numFmt numFmtId="173" formatCode="#,##0_ ;\-#,##0\ "/>
    <numFmt numFmtId="174" formatCode="_-* #,##0.00\ [$€]_-;\-* #,##0.00\ [$€]_-;_-* &quot;-&quot;??\ [$€]_-;_-@_-"/>
    <numFmt numFmtId="175" formatCode="0.0%"/>
    <numFmt numFmtId="176" formatCode="#,##0.000"/>
    <numFmt numFmtId="177" formatCode="0.0"/>
  </numFmts>
  <fonts count="23">
    <font>
      <sz val="10"/>
      <name val="Arial"/>
      <family val="0"/>
    </font>
    <font>
      <b/>
      <sz val="18"/>
      <color indexed="18"/>
      <name val="Times New Roman"/>
      <family val="1"/>
    </font>
    <font>
      <b/>
      <sz val="16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name val="Tahoma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17" fontId="6" fillId="3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72" fontId="8" fillId="2" borderId="0" xfId="0" applyNumberFormat="1" applyFont="1" applyFill="1" applyAlignment="1">
      <alignment/>
    </xf>
    <xf numFmtId="172" fontId="0" fillId="2" borderId="0" xfId="0" applyNumberFormat="1" applyFill="1" applyAlignment="1">
      <alignment/>
    </xf>
    <xf numFmtId="4" fontId="8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3" fontId="8" fillId="2" borderId="0" xfId="15" applyNumberFormat="1" applyFont="1" applyFill="1" applyAlignment="1">
      <alignment/>
    </xf>
    <xf numFmtId="3" fontId="8" fillId="2" borderId="0" xfId="15" applyNumberFormat="1" applyFont="1" applyFill="1" applyAlignment="1">
      <alignment/>
    </xf>
    <xf numFmtId="17" fontId="6" fillId="3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3" fontId="10" fillId="2" borderId="0" xfId="15" applyNumberFormat="1" applyFont="1" applyFill="1" applyAlignment="1">
      <alignment horizontal="right"/>
    </xf>
    <xf numFmtId="3" fontId="8" fillId="2" borderId="0" xfId="0" applyNumberFormat="1" applyFont="1" applyFill="1" applyAlignment="1">
      <alignment/>
    </xf>
    <xf numFmtId="3" fontId="8" fillId="2" borderId="0" xfId="15" applyNumberFormat="1" applyFont="1" applyFill="1" applyAlignment="1">
      <alignment/>
    </xf>
    <xf numFmtId="3" fontId="11" fillId="2" borderId="0" xfId="15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4" fontId="9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3" fontId="14" fillId="2" borderId="0" xfId="15" applyNumberFormat="1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7" fontId="6" fillId="2" borderId="0" xfId="0" applyNumberFormat="1" applyFont="1" applyFill="1" applyAlignment="1">
      <alignment/>
    </xf>
    <xf numFmtId="17" fontId="6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/>
    </xf>
    <xf numFmtId="0" fontId="16" fillId="3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1" fontId="9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9" fontId="9" fillId="2" borderId="0" xfId="0" applyNumberFormat="1" applyFont="1" applyFill="1" applyAlignment="1">
      <alignment/>
    </xf>
    <xf numFmtId="9" fontId="8" fillId="2" borderId="0" xfId="20" applyFont="1" applyFill="1" applyAlignment="1">
      <alignment/>
    </xf>
    <xf numFmtId="9" fontId="9" fillId="2" borderId="0" xfId="20" applyFont="1" applyFill="1" applyAlignment="1">
      <alignment/>
    </xf>
    <xf numFmtId="3" fontId="9" fillId="2" borderId="0" xfId="15" applyNumberFormat="1" applyFont="1" applyFill="1" applyAlignment="1">
      <alignment/>
    </xf>
    <xf numFmtId="17" fontId="9" fillId="2" borderId="0" xfId="0" applyNumberFormat="1" applyFont="1" applyFill="1" applyAlignment="1">
      <alignment/>
    </xf>
    <xf numFmtId="173" fontId="9" fillId="2" borderId="0" xfId="15" applyNumberFormat="1" applyFont="1" applyFill="1" applyAlignment="1">
      <alignment horizontal="right"/>
    </xf>
    <xf numFmtId="20" fontId="0" fillId="2" borderId="0" xfId="0" applyNumberFormat="1" applyFill="1" applyAlignment="1">
      <alignment/>
    </xf>
    <xf numFmtId="10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75" fontId="9" fillId="2" borderId="0" xfId="0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3" fontId="9" fillId="2" borderId="0" xfId="15" applyNumberFormat="1" applyFont="1" applyFill="1" applyAlignment="1">
      <alignment horizontal="right"/>
    </xf>
    <xf numFmtId="1" fontId="9" fillId="2" borderId="0" xfId="0" applyNumberFormat="1" applyFont="1" applyFill="1" applyAlignment="1">
      <alignment horizontal="right"/>
    </xf>
    <xf numFmtId="9" fontId="9" fillId="2" borderId="0" xfId="20" applyFont="1" applyFill="1" applyAlignment="1">
      <alignment horizontal="right"/>
    </xf>
    <xf numFmtId="172" fontId="9" fillId="2" borderId="0" xfId="15" applyNumberFormat="1" applyFont="1" applyFill="1" applyAlignment="1">
      <alignment horizontal="right"/>
    </xf>
    <xf numFmtId="4" fontId="9" fillId="2" borderId="0" xfId="15" applyNumberFormat="1" applyFont="1" applyFill="1" applyAlignment="1">
      <alignment horizontal="right"/>
    </xf>
    <xf numFmtId="176" fontId="9" fillId="2" borderId="0" xfId="15" applyNumberFormat="1" applyFont="1" applyFill="1" applyAlignment="1">
      <alignment horizontal="right"/>
    </xf>
    <xf numFmtId="3" fontId="8" fillId="2" borderId="0" xfId="15" applyNumberFormat="1" applyFont="1" applyFill="1" applyAlignment="1">
      <alignment horizontal="right"/>
    </xf>
    <xf numFmtId="172" fontId="8" fillId="2" borderId="0" xfId="15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4" fontId="8" fillId="2" borderId="0" xfId="15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3" fontId="19" fillId="2" borderId="0" xfId="15" applyNumberFormat="1" applyFont="1" applyFill="1" applyAlignment="1">
      <alignment horizontal="right"/>
    </xf>
    <xf numFmtId="3" fontId="20" fillId="2" borderId="0" xfId="15" applyNumberFormat="1" applyFont="1" applyFill="1" applyAlignment="1">
      <alignment horizontal="right"/>
    </xf>
    <xf numFmtId="4" fontId="20" fillId="2" borderId="0" xfId="15" applyNumberFormat="1" applyFont="1" applyFill="1" applyAlignment="1">
      <alignment horizontal="right"/>
    </xf>
    <xf numFmtId="3" fontId="21" fillId="2" borderId="0" xfId="15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172" fontId="8" fillId="2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22" fillId="2" borderId="0" xfId="0" applyFont="1" applyFill="1" applyAlignment="1">
      <alignment/>
    </xf>
    <xf numFmtId="0" fontId="19" fillId="2" borderId="0" xfId="0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 horizontal="right"/>
    </xf>
    <xf numFmtId="1" fontId="19" fillId="2" borderId="0" xfId="0" applyNumberFormat="1" applyFont="1" applyFill="1" applyBorder="1" applyAlignment="1">
      <alignment horizontal="right"/>
    </xf>
    <xf numFmtId="9" fontId="19" fillId="2" borderId="0" xfId="0" applyNumberFormat="1" applyFont="1" applyFill="1" applyBorder="1" applyAlignment="1">
      <alignment horizontal="right"/>
    </xf>
    <xf numFmtId="172" fontId="9" fillId="2" borderId="0" xfId="15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/>
    </xf>
    <xf numFmtId="9" fontId="9" fillId="2" borderId="1" xfId="20" applyFont="1" applyFill="1" applyBorder="1" applyAlignment="1">
      <alignment/>
    </xf>
    <xf numFmtId="3" fontId="8" fillId="2" borderId="0" xfId="0" applyNumberFormat="1" applyFont="1" applyFill="1" applyAlignment="1">
      <alignment horizontal="right"/>
    </xf>
    <xf numFmtId="172" fontId="9" fillId="2" borderId="1" xfId="20" applyNumberFormat="1" applyFont="1" applyFill="1" applyBorder="1" applyAlignment="1">
      <alignment/>
    </xf>
    <xf numFmtId="3" fontId="9" fillId="2" borderId="1" xfId="15" applyNumberFormat="1" applyFont="1" applyFill="1" applyBorder="1" applyAlignment="1">
      <alignment/>
    </xf>
    <xf numFmtId="172" fontId="9" fillId="2" borderId="1" xfId="15" applyNumberFormat="1" applyFont="1" applyFill="1" applyBorder="1" applyAlignment="1">
      <alignment/>
    </xf>
    <xf numFmtId="172" fontId="6" fillId="3" borderId="0" xfId="0" applyNumberFormat="1" applyFont="1" applyFill="1" applyAlignment="1">
      <alignment/>
    </xf>
    <xf numFmtId="0" fontId="9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3" fontId="9" fillId="4" borderId="2" xfId="0" applyNumberFormat="1" applyFont="1" applyFill="1" applyBorder="1" applyAlignment="1">
      <alignment/>
    </xf>
    <xf numFmtId="4" fontId="9" fillId="4" borderId="4" xfId="0" applyNumberFormat="1" applyFont="1" applyFill="1" applyBorder="1" applyAlignment="1">
      <alignment/>
    </xf>
    <xf numFmtId="4" fontId="9" fillId="2" borderId="0" xfId="15" applyNumberFormat="1" applyFont="1" applyFill="1" applyAlignment="1">
      <alignment/>
    </xf>
    <xf numFmtId="9" fontId="9" fillId="2" borderId="0" xfId="20" applyNumberFormat="1" applyFont="1" applyFill="1" applyAlignment="1">
      <alignment/>
    </xf>
    <xf numFmtId="2" fontId="8" fillId="2" borderId="0" xfId="0" applyNumberFormat="1" applyFont="1" applyFill="1" applyAlignment="1">
      <alignment horizontal="right"/>
    </xf>
    <xf numFmtId="177" fontId="9" fillId="2" borderId="0" xfId="0" applyNumberFormat="1" applyFont="1" applyFill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etnafrance.org/logo-arcep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95250</xdr:rowOff>
    </xdr:from>
    <xdr:to>
      <xdr:col>10</xdr:col>
      <xdr:colOff>752475</xdr:colOff>
      <xdr:row>3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85725" y="581025"/>
          <a:ext cx="761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49</xdr:row>
      <xdr:rowOff>76200</xdr:rowOff>
    </xdr:from>
    <xdr:to>
      <xdr:col>10</xdr:col>
      <xdr:colOff>733425</xdr:colOff>
      <xdr:row>65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8010525"/>
          <a:ext cx="25050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59</xdr:row>
      <xdr:rowOff>19050</xdr:rowOff>
    </xdr:from>
    <xdr:to>
      <xdr:col>3</xdr:col>
      <xdr:colOff>381000</xdr:colOff>
      <xdr:row>65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3425" y="9572625"/>
          <a:ext cx="1257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">
      <selection activeCell="M15" sqref="M15"/>
    </sheetView>
  </sheetViews>
  <sheetFormatPr defaultColWidth="11.421875" defaultRowHeight="12.75"/>
  <cols>
    <col min="1" max="1" width="1.28515625" style="1" customWidth="1"/>
    <col min="2" max="16384" width="11.421875" style="1" customWidth="1"/>
  </cols>
  <sheetData/>
  <printOptions/>
  <pageMargins left="0.75" right="0.75" top="1" bottom="1" header="0.4921259845" footer="0.492125984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1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28125" style="5" customWidth="1"/>
    <col min="3" max="4" width="11.421875" style="1" customWidth="1"/>
    <col min="5" max="5" width="45.28125" style="1" customWidth="1"/>
    <col min="6" max="6" width="13.28125" style="5" bestFit="1" customWidth="1"/>
    <col min="7" max="7" width="18.28125" style="1" bestFit="1" customWidth="1"/>
    <col min="8" max="8" width="5.00390625" style="1" bestFit="1" customWidth="1"/>
    <col min="9" max="16384" width="11.421875" style="1" customWidth="1"/>
  </cols>
  <sheetData>
    <row r="2" spans="2:7" ht="12.75">
      <c r="B2" s="2" t="s">
        <v>0</v>
      </c>
      <c r="C2" s="3"/>
      <c r="D2" s="3"/>
      <c r="E2" s="3"/>
      <c r="F2" s="4" t="s">
        <v>1</v>
      </c>
      <c r="G2" s="4" t="s">
        <v>241</v>
      </c>
    </row>
    <row r="3" spans="3:11" ht="12.75">
      <c r="C3" s="5" t="s">
        <v>2</v>
      </c>
      <c r="F3" s="6">
        <v>60</v>
      </c>
      <c r="G3" s="6">
        <v>60</v>
      </c>
      <c r="I3" s="7"/>
      <c r="J3" s="6"/>
      <c r="K3" s="6"/>
    </row>
    <row r="4" spans="3:11" ht="12.75">
      <c r="C4" s="5" t="s">
        <v>3</v>
      </c>
      <c r="F4" s="6">
        <v>50</v>
      </c>
      <c r="G4" s="6">
        <v>50</v>
      </c>
      <c r="I4" s="7"/>
      <c r="J4" s="6"/>
      <c r="K4" s="6"/>
    </row>
    <row r="5" spans="3:10" ht="12.75">
      <c r="C5" s="5" t="s">
        <v>4</v>
      </c>
      <c r="F5" s="6">
        <v>35</v>
      </c>
      <c r="G5" s="6">
        <v>35</v>
      </c>
      <c r="I5" s="6"/>
      <c r="J5" s="6"/>
    </row>
    <row r="6" spans="3:10" ht="12.75">
      <c r="C6" s="5" t="s">
        <v>5</v>
      </c>
      <c r="F6" s="6">
        <v>30</v>
      </c>
      <c r="G6" s="6">
        <v>15</v>
      </c>
      <c r="I6" s="6"/>
      <c r="J6" s="6"/>
    </row>
    <row r="7" spans="3:10" ht="12.75">
      <c r="C7" s="5" t="s">
        <v>6</v>
      </c>
      <c r="F7" s="8">
        <v>1.8</v>
      </c>
      <c r="G7" s="8">
        <v>1.8</v>
      </c>
      <c r="I7" s="8"/>
      <c r="J7" s="8"/>
    </row>
    <row r="8" spans="3:10" ht="12.75">
      <c r="C8" s="5" t="s">
        <v>7</v>
      </c>
      <c r="F8" s="8">
        <v>1.1</v>
      </c>
      <c r="G8" s="8">
        <v>1.1</v>
      </c>
      <c r="I8" s="8"/>
      <c r="J8" s="8"/>
    </row>
    <row r="9" spans="3:10" ht="12.75">
      <c r="C9" s="5" t="s">
        <v>8</v>
      </c>
      <c r="F9" s="8">
        <v>9.29</v>
      </c>
      <c r="G9" s="8">
        <v>9.29</v>
      </c>
      <c r="I9" s="8"/>
      <c r="J9" s="8"/>
    </row>
    <row r="10" spans="3:9" ht="12.75">
      <c r="C10" s="5" t="s">
        <v>9</v>
      </c>
      <c r="F10" s="8">
        <v>41</v>
      </c>
      <c r="G10" s="8">
        <v>41</v>
      </c>
      <c r="I10" s="7"/>
    </row>
    <row r="11" ht="12.75">
      <c r="I11" s="7"/>
    </row>
    <row r="12" spans="2:7" ht="12.75">
      <c r="B12" s="2" t="s">
        <v>10</v>
      </c>
      <c r="C12" s="3"/>
      <c r="D12" s="3"/>
      <c r="E12" s="3"/>
      <c r="F12" s="4" t="s">
        <v>1</v>
      </c>
      <c r="G12" s="4" t="s">
        <v>241</v>
      </c>
    </row>
    <row r="13" spans="2:7" s="9" customFormat="1" ht="12.75">
      <c r="B13" s="5"/>
      <c r="C13" s="5" t="s">
        <v>11</v>
      </c>
      <c r="D13" s="10"/>
      <c r="F13" s="11">
        <v>1500</v>
      </c>
      <c r="G13" s="11">
        <v>1500</v>
      </c>
    </row>
    <row r="15" spans="2:7" ht="12.75">
      <c r="B15" s="2" t="s">
        <v>12</v>
      </c>
      <c r="C15" s="3"/>
      <c r="D15" s="3"/>
      <c r="E15" s="3"/>
      <c r="F15" s="12" t="s">
        <v>1</v>
      </c>
      <c r="G15" s="4" t="s">
        <v>241</v>
      </c>
    </row>
    <row r="16" spans="2:7" ht="12.75">
      <c r="B16" s="13" t="s">
        <v>13</v>
      </c>
      <c r="C16" s="5"/>
      <c r="D16" s="10"/>
      <c r="F16" s="11"/>
      <c r="G16" s="11"/>
    </row>
    <row r="17" spans="3:7" ht="12.75">
      <c r="C17" s="5" t="s">
        <v>14</v>
      </c>
      <c r="F17" s="14" t="s">
        <v>15</v>
      </c>
      <c r="G17" s="14" t="s">
        <v>15</v>
      </c>
    </row>
    <row r="18" spans="3:7" ht="12.75">
      <c r="C18" s="5" t="s">
        <v>16</v>
      </c>
      <c r="F18" s="11">
        <v>2450</v>
      </c>
      <c r="G18" s="11">
        <v>1782.4</v>
      </c>
    </row>
    <row r="19" spans="3:7" ht="12.75">
      <c r="C19" s="5" t="s">
        <v>17</v>
      </c>
      <c r="D19" s="10"/>
      <c r="F19" s="11">
        <v>119.8</v>
      </c>
      <c r="G19" s="15">
        <f>1505.23/12</f>
        <v>125.43583333333333</v>
      </c>
    </row>
    <row r="20" spans="3:7" ht="12.75">
      <c r="C20" s="5" t="s">
        <v>18</v>
      </c>
      <c r="D20" s="5"/>
      <c r="F20" s="11">
        <v>73.35</v>
      </c>
      <c r="G20" s="15">
        <f>1000.74/12</f>
        <v>83.395</v>
      </c>
    </row>
    <row r="21" spans="3:7" ht="12.75">
      <c r="C21" s="5" t="s">
        <v>19</v>
      </c>
      <c r="D21" s="5"/>
      <c r="F21" s="11">
        <v>62.52</v>
      </c>
      <c r="G21" s="15">
        <f>809.32/12</f>
        <v>67.44333333333334</v>
      </c>
    </row>
    <row r="22" spans="3:7" ht="12.75">
      <c r="C22" s="5" t="s">
        <v>20</v>
      </c>
      <c r="F22" s="11">
        <v>47.61</v>
      </c>
      <c r="G22" s="15">
        <f>664.14/12</f>
        <v>55.345</v>
      </c>
    </row>
    <row r="23" spans="3:7" ht="12.75">
      <c r="C23" s="5" t="s">
        <v>21</v>
      </c>
      <c r="F23" s="11">
        <v>47.61</v>
      </c>
      <c r="G23" s="15">
        <f>664.14/12</f>
        <v>55.345</v>
      </c>
    </row>
    <row r="24" spans="3:7" ht="12.75">
      <c r="C24" s="5" t="s">
        <v>22</v>
      </c>
      <c r="F24" s="11">
        <v>334.6</v>
      </c>
      <c r="G24" s="15">
        <v>459.7</v>
      </c>
    </row>
    <row r="25" spans="3:7" ht="12.75">
      <c r="C25" s="5"/>
      <c r="F25" s="11"/>
      <c r="G25" s="11"/>
    </row>
    <row r="26" spans="2:6" ht="12.75">
      <c r="B26" s="13" t="s">
        <v>23</v>
      </c>
      <c r="C26" s="5"/>
      <c r="F26" s="11"/>
    </row>
    <row r="27" spans="2:7" ht="12.75">
      <c r="B27" s="13"/>
      <c r="C27" s="5" t="s">
        <v>24</v>
      </c>
      <c r="F27" s="11">
        <f>2405.16/12</f>
        <v>200.42999999999998</v>
      </c>
      <c r="G27" s="11">
        <f>1474.85/12</f>
        <v>122.90416666666665</v>
      </c>
    </row>
    <row r="28" spans="2:7" ht="12.75">
      <c r="B28" s="13"/>
      <c r="C28" s="5" t="s">
        <v>25</v>
      </c>
      <c r="F28" s="11">
        <f>2467.7/12</f>
        <v>205.64166666666665</v>
      </c>
      <c r="G28" s="11">
        <f>1861.21/12</f>
        <v>155.10083333333333</v>
      </c>
    </row>
    <row r="29" spans="2:7" ht="12.75">
      <c r="B29" s="13"/>
      <c r="C29" s="5" t="s">
        <v>26</v>
      </c>
      <c r="F29" s="11">
        <f>3198.48/12</f>
        <v>266.54</v>
      </c>
      <c r="G29" s="11">
        <f>2154.85/12</f>
        <v>179.57083333333333</v>
      </c>
    </row>
    <row r="30" spans="2:7" ht="12.75">
      <c r="B30" s="13"/>
      <c r="C30" s="5" t="s">
        <v>27</v>
      </c>
      <c r="F30" s="11">
        <v>100</v>
      </c>
      <c r="G30" s="11">
        <v>100</v>
      </c>
    </row>
    <row r="31" spans="2:7" ht="12.75">
      <c r="B31" s="13"/>
      <c r="C31" s="5"/>
      <c r="F31" s="11"/>
      <c r="G31" s="11"/>
    </row>
    <row r="32" spans="2:6" ht="12.75">
      <c r="B32" s="13" t="s">
        <v>28</v>
      </c>
      <c r="C32" s="5"/>
      <c r="D32" s="10"/>
      <c r="F32" s="16"/>
    </row>
    <row r="33" spans="3:7" ht="12.75">
      <c r="C33" s="5" t="s">
        <v>29</v>
      </c>
      <c r="D33" s="10"/>
      <c r="F33" s="11">
        <v>104.41</v>
      </c>
      <c r="G33" s="11">
        <v>53.5</v>
      </c>
    </row>
    <row r="34" spans="3:7" ht="12.75">
      <c r="C34" s="5" t="s">
        <v>30</v>
      </c>
      <c r="D34" s="10"/>
      <c r="F34" s="11">
        <v>170</v>
      </c>
      <c r="G34" s="11">
        <v>87.3</v>
      </c>
    </row>
    <row r="35" spans="3:7" ht="12.75">
      <c r="C35" s="5" t="s">
        <v>31</v>
      </c>
      <c r="D35" s="10"/>
      <c r="F35" s="11">
        <v>180</v>
      </c>
      <c r="G35" s="11">
        <v>87.3</v>
      </c>
    </row>
    <row r="36" spans="3:7" ht="12.75">
      <c r="C36" s="5" t="s">
        <v>32</v>
      </c>
      <c r="D36" s="10"/>
      <c r="F36" s="11">
        <v>184</v>
      </c>
      <c r="G36" s="11">
        <v>87.3</v>
      </c>
    </row>
    <row r="37" spans="3:7" ht="12.75">
      <c r="C37" s="5" t="s">
        <v>33</v>
      </c>
      <c r="D37" s="10"/>
      <c r="F37" s="11">
        <v>180</v>
      </c>
      <c r="G37" s="11">
        <v>87.3</v>
      </c>
    </row>
    <row r="38" spans="3:7" ht="12.75">
      <c r="C38" s="5" t="s">
        <v>34</v>
      </c>
      <c r="D38" s="10"/>
      <c r="F38" s="11">
        <v>190</v>
      </c>
      <c r="G38" s="11">
        <v>87.3</v>
      </c>
    </row>
    <row r="39" spans="3:7" ht="12.75">
      <c r="C39" s="5" t="s">
        <v>35</v>
      </c>
      <c r="D39" s="10"/>
      <c r="F39" s="11">
        <v>194</v>
      </c>
      <c r="G39" s="11">
        <v>87.3</v>
      </c>
    </row>
    <row r="40" spans="3:7" ht="12.75">
      <c r="C40" s="5" t="s">
        <v>36</v>
      </c>
      <c r="D40" s="10"/>
      <c r="F40" s="11">
        <v>184</v>
      </c>
      <c r="G40" s="11">
        <v>87.3</v>
      </c>
    </row>
    <row r="41" spans="3:7" ht="12.75">
      <c r="C41" s="5" t="s">
        <v>37</v>
      </c>
      <c r="D41" s="10"/>
      <c r="F41" s="11">
        <v>190</v>
      </c>
      <c r="G41" s="11">
        <v>87.3</v>
      </c>
    </row>
    <row r="42" spans="3:7" ht="12.75">
      <c r="C42" s="5"/>
      <c r="D42" s="10"/>
      <c r="F42" s="17"/>
      <c r="G42" s="11"/>
    </row>
    <row r="43" spans="2:6" ht="12.75">
      <c r="B43" s="13" t="s">
        <v>38</v>
      </c>
      <c r="C43" s="5"/>
      <c r="D43" s="10"/>
      <c r="F43" s="16"/>
    </row>
    <row r="44" spans="2:7" ht="12.75">
      <c r="B44" s="13"/>
      <c r="C44" s="5" t="s">
        <v>29</v>
      </c>
      <c r="D44" s="10"/>
      <c r="F44" s="11">
        <v>0</v>
      </c>
      <c r="G44" s="11">
        <v>0</v>
      </c>
    </row>
    <row r="45" spans="3:7" ht="12.75">
      <c r="C45" s="5" t="s">
        <v>30</v>
      </c>
      <c r="D45" s="10"/>
      <c r="F45" s="11">
        <v>441</v>
      </c>
      <c r="G45" s="11">
        <v>0</v>
      </c>
    </row>
    <row r="46" spans="3:7" ht="12.75">
      <c r="C46" s="5" t="s">
        <v>31</v>
      </c>
      <c r="D46" s="10"/>
      <c r="F46" s="11">
        <v>551</v>
      </c>
      <c r="G46" s="11">
        <v>0</v>
      </c>
    </row>
    <row r="47" spans="3:7" ht="12.75">
      <c r="C47" s="5" t="s">
        <v>32</v>
      </c>
      <c r="D47" s="10"/>
      <c r="F47" s="11">
        <v>588</v>
      </c>
      <c r="G47" s="11">
        <v>0</v>
      </c>
    </row>
    <row r="48" spans="3:7" ht="12.75">
      <c r="C48" s="5" t="s">
        <v>33</v>
      </c>
      <c r="D48" s="10"/>
      <c r="F48" s="11">
        <v>551</v>
      </c>
      <c r="G48" s="11">
        <v>0</v>
      </c>
    </row>
    <row r="49" spans="3:7" ht="12.75">
      <c r="C49" s="5" t="s">
        <v>34</v>
      </c>
      <c r="D49" s="10"/>
      <c r="F49" s="11">
        <v>662</v>
      </c>
      <c r="G49" s="11">
        <v>0</v>
      </c>
    </row>
    <row r="50" spans="3:7" ht="12.75">
      <c r="C50" s="5" t="s">
        <v>35</v>
      </c>
      <c r="D50" s="10"/>
      <c r="F50" s="11">
        <v>772</v>
      </c>
      <c r="G50" s="11">
        <v>0</v>
      </c>
    </row>
    <row r="51" spans="3:7" ht="12.75">
      <c r="C51" s="5" t="s">
        <v>36</v>
      </c>
      <c r="D51" s="10"/>
      <c r="F51" s="11">
        <v>588</v>
      </c>
      <c r="G51" s="11">
        <v>0</v>
      </c>
    </row>
    <row r="52" spans="3:7" ht="12.75">
      <c r="C52" s="5" t="s">
        <v>37</v>
      </c>
      <c r="D52" s="10"/>
      <c r="F52" s="11">
        <v>662</v>
      </c>
      <c r="G52" s="11">
        <v>0</v>
      </c>
    </row>
    <row r="53" spans="3:7" ht="12.75">
      <c r="C53" s="5"/>
      <c r="D53" s="10"/>
      <c r="F53" s="17"/>
      <c r="G53" s="11"/>
    </row>
    <row r="54" spans="2:7" ht="12.75">
      <c r="B54" s="13" t="s">
        <v>39</v>
      </c>
      <c r="D54" s="13"/>
      <c r="F54" s="17"/>
      <c r="G54" s="11"/>
    </row>
    <row r="55" spans="2:7" ht="12.75">
      <c r="B55" s="13" t="s">
        <v>40</v>
      </c>
      <c r="C55" s="13"/>
      <c r="D55" s="13"/>
      <c r="F55" s="17"/>
      <c r="G55" s="11"/>
    </row>
    <row r="56" spans="3:7" ht="12.75">
      <c r="C56" s="5" t="s">
        <v>41</v>
      </c>
      <c r="F56" s="18">
        <f>(F44/Calculs!$F$16/12+F33)</f>
        <v>104.41</v>
      </c>
      <c r="G56" s="18">
        <f>(G44/Calculs!$F$16/12+G33)</f>
        <v>53.5</v>
      </c>
    </row>
    <row r="57" spans="3:7" ht="12.75">
      <c r="C57" s="5" t="s">
        <v>42</v>
      </c>
      <c r="F57" s="18">
        <f>(F45/Calculs!$F$16/12+F34)</f>
        <v>179.3312636326553</v>
      </c>
      <c r="G57" s="18">
        <f>(G45/Calculs!$F$16/12+G34)</f>
        <v>87.3</v>
      </c>
    </row>
    <row r="58" spans="3:7" ht="12.75">
      <c r="C58" s="5" t="s">
        <v>43</v>
      </c>
      <c r="F58" s="18">
        <f>(F46/Calculs!$F$16/12+F35)</f>
        <v>191.6587897088278</v>
      </c>
      <c r="G58" s="18">
        <f>(G46/Calculs!$F$16/12+G35)</f>
        <v>87.3</v>
      </c>
    </row>
    <row r="59" spans="3:7" ht="12.75">
      <c r="C59" s="5" t="s">
        <v>44</v>
      </c>
      <c r="F59" s="18">
        <f>(F47/Calculs!$F$16/12+F36)</f>
        <v>196.44168484354037</v>
      </c>
      <c r="G59" s="18">
        <f>(G47/Calculs!$F$16/12+G36)</f>
        <v>87.3</v>
      </c>
    </row>
    <row r="60" spans="3:7" ht="12.75">
      <c r="C60" s="5" t="s">
        <v>45</v>
      </c>
      <c r="F60" s="18">
        <f>(F48/Calculs!$F$16/12+F37)</f>
        <v>191.6587897088278</v>
      </c>
      <c r="G60" s="18">
        <f>(G48/Calculs!$F$16/12+G37)</f>
        <v>87.3</v>
      </c>
    </row>
    <row r="61" spans="3:7" ht="12.75">
      <c r="C61" s="5" t="s">
        <v>46</v>
      </c>
      <c r="F61" s="18">
        <f>(F49/Calculs!$F$16/12+F38)</f>
        <v>204.00747511296552</v>
      </c>
      <c r="G61" s="18">
        <f>(G49/Calculs!$F$16/12+G38)</f>
        <v>87.3</v>
      </c>
    </row>
    <row r="62" spans="3:7" ht="12.75">
      <c r="C62" s="5" t="s">
        <v>47</v>
      </c>
      <c r="F62" s="18">
        <f>(F50/Calculs!$F$16/12+F39)</f>
        <v>210.33500118913804</v>
      </c>
      <c r="G62" s="18">
        <f>(G50/Calculs!$F$16/12+G39)</f>
        <v>87.3</v>
      </c>
    </row>
    <row r="63" spans="3:7" ht="12.75">
      <c r="C63" s="5" t="s">
        <v>48</v>
      </c>
      <c r="F63" s="18">
        <f>(F51/Calculs!$F$16/12+F40)</f>
        <v>196.44168484354037</v>
      </c>
      <c r="G63" s="18">
        <f>(G51/Calculs!$F$16/12+G40)</f>
        <v>87.3</v>
      </c>
    </row>
    <row r="64" spans="3:7" ht="12.75">
      <c r="C64" s="5" t="s">
        <v>49</v>
      </c>
      <c r="F64" s="18">
        <f>(F52/Calculs!$F$16/12+F41)</f>
        <v>204.00747511296552</v>
      </c>
      <c r="G64" s="18">
        <f>(G52/Calculs!$F$16/12+G41)</f>
        <v>87.3</v>
      </c>
    </row>
    <row r="65" spans="3:7" ht="12.75">
      <c r="C65" s="5"/>
      <c r="D65" s="5"/>
      <c r="F65" s="17"/>
      <c r="G65" s="11"/>
    </row>
    <row r="66" spans="2:7" ht="12.75">
      <c r="B66" s="13" t="s">
        <v>50</v>
      </c>
      <c r="F66" s="17"/>
      <c r="G66" s="11"/>
    </row>
    <row r="67" spans="2:6" ht="12.75">
      <c r="B67" s="13" t="s">
        <v>51</v>
      </c>
      <c r="F67" s="1"/>
    </row>
    <row r="68" spans="3:7" ht="12.75">
      <c r="C68" s="5" t="s">
        <v>41</v>
      </c>
      <c r="F68" s="15">
        <f>F56/2</f>
        <v>52.205</v>
      </c>
      <c r="G68" s="15">
        <f>G56/2</f>
        <v>26.75</v>
      </c>
    </row>
    <row r="69" spans="3:7" ht="12.75">
      <c r="C69" s="5" t="s">
        <v>42</v>
      </c>
      <c r="F69" s="15">
        <f aca="true" t="shared" si="0" ref="F69:G76">F57/2</f>
        <v>89.66563181632765</v>
      </c>
      <c r="G69" s="15">
        <f t="shared" si="0"/>
        <v>43.65</v>
      </c>
    </row>
    <row r="70" spans="3:7" ht="12.75">
      <c r="C70" s="5" t="s">
        <v>43</v>
      </c>
      <c r="F70" s="15">
        <f t="shared" si="0"/>
        <v>95.8293948544139</v>
      </c>
      <c r="G70" s="15">
        <f t="shared" si="0"/>
        <v>43.65</v>
      </c>
    </row>
    <row r="71" spans="3:7" ht="12.75">
      <c r="C71" s="5" t="s">
        <v>44</v>
      </c>
      <c r="F71" s="15">
        <f t="shared" si="0"/>
        <v>98.22084242177019</v>
      </c>
      <c r="G71" s="15">
        <f t="shared" si="0"/>
        <v>43.65</v>
      </c>
    </row>
    <row r="72" spans="3:7" ht="12.75">
      <c r="C72" s="5" t="s">
        <v>45</v>
      </c>
      <c r="F72" s="15">
        <f t="shared" si="0"/>
        <v>95.8293948544139</v>
      </c>
      <c r="G72" s="15">
        <f t="shared" si="0"/>
        <v>43.65</v>
      </c>
    </row>
    <row r="73" spans="3:7" ht="12.75">
      <c r="C73" s="5" t="s">
        <v>46</v>
      </c>
      <c r="F73" s="15">
        <f t="shared" si="0"/>
        <v>102.00373755648276</v>
      </c>
      <c r="G73" s="15">
        <f t="shared" si="0"/>
        <v>43.65</v>
      </c>
    </row>
    <row r="74" spans="3:7" ht="12.75">
      <c r="C74" s="5" t="s">
        <v>47</v>
      </c>
      <c r="F74" s="15">
        <f t="shared" si="0"/>
        <v>105.16750059456902</v>
      </c>
      <c r="G74" s="15">
        <f t="shared" si="0"/>
        <v>43.65</v>
      </c>
    </row>
    <row r="75" spans="3:7" ht="12.75">
      <c r="C75" s="5" t="s">
        <v>48</v>
      </c>
      <c r="F75" s="15">
        <f t="shared" si="0"/>
        <v>98.22084242177019</v>
      </c>
      <c r="G75" s="15">
        <f t="shared" si="0"/>
        <v>43.65</v>
      </c>
    </row>
    <row r="76" spans="3:7" ht="12.75">
      <c r="C76" s="5" t="s">
        <v>49</v>
      </c>
      <c r="F76" s="15">
        <f t="shared" si="0"/>
        <v>102.00373755648276</v>
      </c>
      <c r="G76" s="15">
        <f t="shared" si="0"/>
        <v>43.65</v>
      </c>
    </row>
    <row r="77" spans="3:7" ht="12.75">
      <c r="C77" s="5"/>
      <c r="F77" s="15"/>
      <c r="G77" s="15"/>
    </row>
    <row r="78" spans="2:6" ht="12.75">
      <c r="B78" s="19" t="s">
        <v>52</v>
      </c>
      <c r="F78" s="1"/>
    </row>
    <row r="79" spans="3:7" ht="12.75">
      <c r="C79" s="5" t="s">
        <v>41</v>
      </c>
      <c r="F79" s="6">
        <f>F56/128</f>
        <v>0.815703125</v>
      </c>
      <c r="G79" s="6">
        <f>G56/128</f>
        <v>0.41796875</v>
      </c>
    </row>
    <row r="80" spans="3:7" ht="12.75">
      <c r="C80" s="5" t="s">
        <v>42</v>
      </c>
      <c r="F80" s="6">
        <f aca="true" t="shared" si="1" ref="F80:G87">F57/128</f>
        <v>1.4010254971301195</v>
      </c>
      <c r="G80" s="6">
        <f t="shared" si="1"/>
        <v>0.68203125</v>
      </c>
    </row>
    <row r="81" spans="3:7" ht="12.75">
      <c r="C81" s="5" t="s">
        <v>43</v>
      </c>
      <c r="F81" s="6">
        <f t="shared" si="1"/>
        <v>1.4973342946002173</v>
      </c>
      <c r="G81" s="6">
        <f t="shared" si="1"/>
        <v>0.68203125</v>
      </c>
    </row>
    <row r="82" spans="3:7" ht="12.75">
      <c r="C82" s="5" t="s">
        <v>44</v>
      </c>
      <c r="F82" s="6">
        <f t="shared" si="1"/>
        <v>1.5347006628401592</v>
      </c>
      <c r="G82" s="6">
        <f t="shared" si="1"/>
        <v>0.68203125</v>
      </c>
    </row>
    <row r="83" spans="3:7" ht="12.75">
      <c r="C83" s="5" t="s">
        <v>45</v>
      </c>
      <c r="F83" s="6">
        <f t="shared" si="1"/>
        <v>1.4973342946002173</v>
      </c>
      <c r="G83" s="6">
        <f t="shared" si="1"/>
        <v>0.68203125</v>
      </c>
    </row>
    <row r="84" spans="3:7" ht="12.75">
      <c r="C84" s="5" t="s">
        <v>46</v>
      </c>
      <c r="F84" s="6">
        <f t="shared" si="1"/>
        <v>1.5938083993200431</v>
      </c>
      <c r="G84" s="6">
        <f>G61/128</f>
        <v>0.68203125</v>
      </c>
    </row>
    <row r="85" spans="3:7" ht="12.75">
      <c r="C85" s="5" t="s">
        <v>47</v>
      </c>
      <c r="F85" s="6">
        <f t="shared" si="1"/>
        <v>1.643242196790141</v>
      </c>
      <c r="G85" s="6">
        <f t="shared" si="1"/>
        <v>0.68203125</v>
      </c>
    </row>
    <row r="86" spans="3:7" ht="12.75">
      <c r="C86" s="5" t="s">
        <v>48</v>
      </c>
      <c r="F86" s="6">
        <f t="shared" si="1"/>
        <v>1.5347006628401592</v>
      </c>
      <c r="G86" s="6">
        <f t="shared" si="1"/>
        <v>0.68203125</v>
      </c>
    </row>
    <row r="87" spans="3:7" ht="12.75">
      <c r="C87" s="5" t="s">
        <v>49</v>
      </c>
      <c r="D87" s="5"/>
      <c r="F87" s="6">
        <f t="shared" si="1"/>
        <v>1.5938083993200431</v>
      </c>
      <c r="G87" s="6">
        <f t="shared" si="1"/>
        <v>0.68203125</v>
      </c>
    </row>
    <row r="88" spans="3:7" ht="12.75">
      <c r="C88" s="5"/>
      <c r="D88" s="10"/>
      <c r="F88" s="17"/>
      <c r="G88" s="11"/>
    </row>
    <row r="89" spans="3:7" ht="12.75">
      <c r="C89" s="5"/>
      <c r="D89" s="10"/>
      <c r="F89" s="17"/>
      <c r="G89" s="11"/>
    </row>
    <row r="91" spans="2:12" ht="12.75">
      <c r="B91" s="2" t="s">
        <v>53</v>
      </c>
      <c r="C91" s="3"/>
      <c r="D91" s="3"/>
      <c r="E91" s="3"/>
      <c r="F91" s="12" t="s">
        <v>1</v>
      </c>
      <c r="G91" s="4" t="s">
        <v>241</v>
      </c>
      <c r="L91" s="28"/>
    </row>
    <row r="92" spans="3:12" ht="12.75">
      <c r="C92" s="5"/>
      <c r="D92" s="10"/>
      <c r="F92" s="11"/>
      <c r="G92" s="11"/>
      <c r="L92" s="11"/>
    </row>
    <row r="93" spans="2:6" ht="12.75">
      <c r="B93" s="13" t="s">
        <v>13</v>
      </c>
      <c r="C93" s="5"/>
      <c r="D93" s="10"/>
      <c r="F93" s="11"/>
    </row>
    <row r="94" spans="3:12" ht="12.75">
      <c r="C94" s="5" t="s">
        <v>54</v>
      </c>
      <c r="F94" s="11">
        <v>4200</v>
      </c>
      <c r="G94" s="11">
        <v>2200</v>
      </c>
      <c r="L94" s="11"/>
    </row>
    <row r="95" spans="3:12" ht="12.75">
      <c r="C95" s="5" t="s">
        <v>16</v>
      </c>
      <c r="F95" s="11">
        <v>2450</v>
      </c>
      <c r="G95" s="11">
        <v>1782.4</v>
      </c>
      <c r="L95" s="11"/>
    </row>
    <row r="96" spans="3:12" ht="12.75">
      <c r="C96" s="5" t="s">
        <v>17</v>
      </c>
      <c r="D96" s="10"/>
      <c r="F96" s="11">
        <v>419.4</v>
      </c>
      <c r="G96" s="11">
        <v>268.21</v>
      </c>
      <c r="L96" s="11"/>
    </row>
    <row r="97" spans="3:12" ht="12.75">
      <c r="C97" s="5" t="s">
        <v>18</v>
      </c>
      <c r="D97" s="10"/>
      <c r="F97" s="11">
        <v>370.41</v>
      </c>
      <c r="G97" s="11">
        <v>218.21</v>
      </c>
      <c r="L97" s="11"/>
    </row>
    <row r="98" spans="3:12" ht="12.75">
      <c r="C98" s="5" t="s">
        <v>19</v>
      </c>
      <c r="D98" s="10"/>
      <c r="F98" s="11">
        <v>358.98</v>
      </c>
      <c r="G98" s="11">
        <v>202.15</v>
      </c>
      <c r="L98" s="11"/>
    </row>
    <row r="99" spans="3:12" ht="12.75">
      <c r="C99" s="5" t="s">
        <v>20</v>
      </c>
      <c r="D99" s="10"/>
      <c r="F99" s="11">
        <v>343.26</v>
      </c>
      <c r="G99" s="11">
        <v>189.97</v>
      </c>
      <c r="L99" s="11"/>
    </row>
    <row r="100" spans="3:12" ht="12.75">
      <c r="C100" s="5" t="s">
        <v>55</v>
      </c>
      <c r="D100" s="5"/>
      <c r="F100" s="11">
        <v>343.26</v>
      </c>
      <c r="G100" s="11">
        <v>189.97</v>
      </c>
      <c r="L100" s="11"/>
    </row>
    <row r="101" spans="3:12" ht="12.75">
      <c r="C101" s="5"/>
      <c r="D101" s="5"/>
      <c r="F101" s="11"/>
      <c r="G101" s="11"/>
      <c r="L101" s="11"/>
    </row>
    <row r="102" spans="2:7" ht="12.75">
      <c r="B102" s="13" t="s">
        <v>56</v>
      </c>
      <c r="C102" s="5"/>
      <c r="D102" s="10"/>
      <c r="F102" s="11"/>
      <c r="G102" s="11"/>
    </row>
    <row r="103" spans="3:12" ht="12.75">
      <c r="C103" s="5" t="s">
        <v>54</v>
      </c>
      <c r="F103" s="11">
        <v>3800</v>
      </c>
      <c r="G103" s="11">
        <v>2000</v>
      </c>
      <c r="L103" s="11"/>
    </row>
    <row r="104" spans="3:12" ht="12.75">
      <c r="C104" s="5" t="s">
        <v>16</v>
      </c>
      <c r="F104" s="11">
        <v>2450</v>
      </c>
      <c r="G104" s="11">
        <v>1782.4</v>
      </c>
      <c r="L104" s="11"/>
    </row>
    <row r="105" spans="3:12" ht="12.75">
      <c r="C105" s="5" t="s">
        <v>17</v>
      </c>
      <c r="D105" s="10"/>
      <c r="F105" s="11">
        <v>361.21</v>
      </c>
      <c r="G105" s="11">
        <v>216.71</v>
      </c>
      <c r="L105" s="11"/>
    </row>
    <row r="106" spans="3:12" ht="12.75">
      <c r="C106" s="5" t="s">
        <v>18</v>
      </c>
      <c r="D106" s="10"/>
      <c r="F106" s="11">
        <v>323.42</v>
      </c>
      <c r="G106" s="11">
        <v>181.43</v>
      </c>
      <c r="L106" s="11"/>
    </row>
    <row r="107" spans="3:12" ht="12.75">
      <c r="C107" s="5" t="s">
        <v>19</v>
      </c>
      <c r="D107" s="10"/>
      <c r="F107" s="11">
        <v>314.6</v>
      </c>
      <c r="G107" s="11">
        <v>168.04</v>
      </c>
      <c r="L107" s="11"/>
    </row>
    <row r="108" spans="3:12" ht="12.75">
      <c r="C108" s="5" t="s">
        <v>20</v>
      </c>
      <c r="D108" s="10"/>
      <c r="F108" s="11">
        <v>302.4</v>
      </c>
      <c r="G108" s="11">
        <v>157.89</v>
      </c>
      <c r="L108" s="11"/>
    </row>
    <row r="109" spans="3:12" ht="12.75">
      <c r="C109" s="5" t="s">
        <v>55</v>
      </c>
      <c r="D109" s="5"/>
      <c r="F109" s="11">
        <v>302.4</v>
      </c>
      <c r="G109" s="11">
        <v>157.89</v>
      </c>
      <c r="L109" s="11"/>
    </row>
    <row r="110" spans="3:7" ht="12.75">
      <c r="C110" s="5"/>
      <c r="D110" s="5"/>
      <c r="F110" s="11"/>
      <c r="G110" s="11"/>
    </row>
    <row r="111" spans="2:6" ht="12.75">
      <c r="B111" s="13" t="s">
        <v>57</v>
      </c>
      <c r="C111" s="5"/>
      <c r="F111" s="11"/>
    </row>
    <row r="112" spans="2:6" ht="12.75">
      <c r="B112" s="13"/>
      <c r="C112" s="13" t="s">
        <v>58</v>
      </c>
      <c r="F112" s="11"/>
    </row>
    <row r="113" spans="2:7" ht="12.75">
      <c r="B113" s="13"/>
      <c r="C113" s="5" t="s">
        <v>59</v>
      </c>
      <c r="F113" s="11">
        <f>1917/12</f>
        <v>159.75</v>
      </c>
      <c r="G113" s="11">
        <f>1612.89/12</f>
        <v>134.4075</v>
      </c>
    </row>
    <row r="114" spans="2:7" ht="12.75">
      <c r="B114" s="13"/>
      <c r="C114" s="20" t="s">
        <v>60</v>
      </c>
      <c r="F114" s="11">
        <f>3020/12</f>
        <v>251.66666666666666</v>
      </c>
      <c r="G114" s="11">
        <f>2593.9/12</f>
        <v>216.15833333333333</v>
      </c>
    </row>
    <row r="115" spans="2:7" ht="12.75">
      <c r="B115" s="13"/>
      <c r="C115" s="5" t="s">
        <v>61</v>
      </c>
      <c r="F115" s="11">
        <f>3085/12</f>
        <v>257.0833333333333</v>
      </c>
      <c r="G115" s="11">
        <f>2996.04/12</f>
        <v>249.67</v>
      </c>
    </row>
    <row r="116" spans="2:7" ht="12.75">
      <c r="B116" s="13"/>
      <c r="C116" s="5" t="s">
        <v>62</v>
      </c>
      <c r="F116" s="11">
        <f>3834/12</f>
        <v>319.5</v>
      </c>
      <c r="G116" s="11">
        <f>G113*2</f>
        <v>268.815</v>
      </c>
    </row>
    <row r="117" spans="2:7" ht="12.75">
      <c r="B117" s="13"/>
      <c r="C117" s="5" t="s">
        <v>63</v>
      </c>
      <c r="F117" s="11">
        <f>6040/12</f>
        <v>503.3333333333333</v>
      </c>
      <c r="G117" s="11">
        <f>5187.81/12</f>
        <v>432.31750000000005</v>
      </c>
    </row>
    <row r="118" spans="2:7" ht="12.75">
      <c r="B118" s="13"/>
      <c r="C118" s="5" t="s">
        <v>64</v>
      </c>
      <c r="F118" s="11">
        <f>6170/12</f>
        <v>514.1666666666666</v>
      </c>
      <c r="G118" s="11">
        <f>G115*2</f>
        <v>499.34</v>
      </c>
    </row>
    <row r="119" spans="2:7" ht="12.75">
      <c r="B119" s="13"/>
      <c r="C119" s="5" t="s">
        <v>65</v>
      </c>
      <c r="F119" s="11">
        <f>1610/12</f>
        <v>134.16666666666666</v>
      </c>
      <c r="G119" s="11">
        <f>1120.34/12</f>
        <v>93.36166666666666</v>
      </c>
    </row>
    <row r="120" spans="2:7" ht="12.75">
      <c r="B120" s="13"/>
      <c r="C120" s="5" t="s">
        <v>66</v>
      </c>
      <c r="F120" s="11">
        <f>1865/12</f>
        <v>155.41666666666666</v>
      </c>
      <c r="G120" s="11">
        <f>1152.46/12</f>
        <v>96.03833333333334</v>
      </c>
    </row>
    <row r="121" spans="2:7" ht="12.75">
      <c r="B121" s="13"/>
      <c r="C121" s="5" t="s">
        <v>67</v>
      </c>
      <c r="F121" s="11">
        <f>2397/12</f>
        <v>199.75</v>
      </c>
      <c r="G121" s="11">
        <f>1401.39/12</f>
        <v>116.78250000000001</v>
      </c>
    </row>
    <row r="122" spans="2:256" s="21" customFormat="1" ht="12.75">
      <c r="B122" s="22"/>
      <c r="C122" s="23"/>
      <c r="F122" s="24"/>
      <c r="G122" s="2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2:7" ht="12.75">
      <c r="B123" s="13"/>
      <c r="C123" s="13" t="s">
        <v>68</v>
      </c>
      <c r="F123" s="11"/>
      <c r="G123" s="11"/>
    </row>
    <row r="124" spans="2:7" ht="12.75">
      <c r="B124" s="13"/>
      <c r="C124" s="5" t="s">
        <v>61</v>
      </c>
      <c r="F124" s="11">
        <f>2019/12</f>
        <v>168.25</v>
      </c>
      <c r="G124" s="11">
        <f>2001.2/12</f>
        <v>166.76666666666668</v>
      </c>
    </row>
    <row r="125" spans="2:7" ht="12.75">
      <c r="B125" s="13"/>
      <c r="C125" s="5" t="s">
        <v>64</v>
      </c>
      <c r="F125" s="11">
        <f>4038/12</f>
        <v>336.5</v>
      </c>
      <c r="G125" s="11">
        <f>4002.41/12</f>
        <v>333.53416666666664</v>
      </c>
    </row>
    <row r="126" spans="2:7" ht="12.75">
      <c r="B126" s="13"/>
      <c r="C126" s="5" t="s">
        <v>67</v>
      </c>
      <c r="F126" s="11">
        <f>2397/12</f>
        <v>199.75</v>
      </c>
      <c r="G126" s="11">
        <f>1401.39/12</f>
        <v>116.78250000000001</v>
      </c>
    </row>
    <row r="127" spans="2:7" ht="12.75">
      <c r="B127" s="13"/>
      <c r="C127" s="5"/>
      <c r="F127" s="11"/>
      <c r="G127" s="11"/>
    </row>
    <row r="128" spans="2:7" ht="12.75">
      <c r="B128" s="13"/>
      <c r="C128" s="5" t="s">
        <v>27</v>
      </c>
      <c r="D128" s="5"/>
      <c r="F128" s="11">
        <v>100</v>
      </c>
      <c r="G128" s="11">
        <v>100</v>
      </c>
    </row>
    <row r="129" spans="2:6" ht="12.75">
      <c r="B129" s="13"/>
      <c r="C129" s="5"/>
      <c r="D129" s="5"/>
      <c r="F129" s="11"/>
    </row>
    <row r="130" spans="2:6" ht="12.75">
      <c r="B130" s="13" t="s">
        <v>69</v>
      </c>
      <c r="C130" s="5"/>
      <c r="D130" s="10"/>
      <c r="F130" s="16"/>
    </row>
    <row r="131" spans="3:7" ht="12.75">
      <c r="C131" s="5" t="s">
        <v>29</v>
      </c>
      <c r="D131" s="10"/>
      <c r="F131" s="11">
        <v>78.05</v>
      </c>
      <c r="G131" s="11">
        <v>47</v>
      </c>
    </row>
    <row r="132" spans="3:7" ht="12.75">
      <c r="C132" s="5" t="s">
        <v>30</v>
      </c>
      <c r="D132" s="10"/>
      <c r="F132" s="11">
        <v>170</v>
      </c>
      <c r="G132" s="11">
        <v>80.8</v>
      </c>
    </row>
    <row r="133" spans="3:7" ht="12.75">
      <c r="C133" s="5" t="s">
        <v>31</v>
      </c>
      <c r="D133" s="10"/>
      <c r="F133" s="11">
        <v>180</v>
      </c>
      <c r="G133" s="11">
        <v>80.8</v>
      </c>
    </row>
    <row r="134" spans="3:7" ht="12.75">
      <c r="C134" s="5" t="s">
        <v>32</v>
      </c>
      <c r="D134" s="10"/>
      <c r="F134" s="11">
        <v>184</v>
      </c>
      <c r="G134" s="11">
        <v>80.8</v>
      </c>
    </row>
    <row r="135" spans="3:7" ht="12.75">
      <c r="C135" s="5" t="s">
        <v>33</v>
      </c>
      <c r="D135" s="10"/>
      <c r="F135" s="11">
        <v>180</v>
      </c>
      <c r="G135" s="11">
        <v>80.8</v>
      </c>
    </row>
    <row r="136" spans="3:7" ht="12.75">
      <c r="C136" s="5" t="s">
        <v>34</v>
      </c>
      <c r="D136" s="10"/>
      <c r="F136" s="11">
        <v>190</v>
      </c>
      <c r="G136" s="11">
        <v>80.8</v>
      </c>
    </row>
    <row r="137" spans="3:7" ht="12.75">
      <c r="C137" s="5" t="s">
        <v>35</v>
      </c>
      <c r="D137" s="10"/>
      <c r="F137" s="11">
        <v>194</v>
      </c>
      <c r="G137" s="11">
        <v>80.8</v>
      </c>
    </row>
    <row r="138" spans="3:7" ht="12.75">
      <c r="C138" s="5" t="s">
        <v>36</v>
      </c>
      <c r="D138" s="10"/>
      <c r="F138" s="11">
        <v>184</v>
      </c>
      <c r="G138" s="11">
        <v>80.8</v>
      </c>
    </row>
    <row r="139" spans="3:7" ht="12.75">
      <c r="C139" s="5" t="s">
        <v>37</v>
      </c>
      <c r="D139" s="10"/>
      <c r="F139" s="11">
        <v>190</v>
      </c>
      <c r="G139" s="11">
        <v>80.8</v>
      </c>
    </row>
    <row r="140" spans="3:7" ht="12.75">
      <c r="C140" s="5"/>
      <c r="D140" s="10"/>
      <c r="F140" s="17"/>
      <c r="G140" s="11"/>
    </row>
    <row r="141" spans="2:6" ht="12.75">
      <c r="B141" s="13" t="s">
        <v>70</v>
      </c>
      <c r="C141" s="5"/>
      <c r="D141" s="10"/>
      <c r="F141" s="16"/>
    </row>
    <row r="142" spans="2:7" ht="12.75">
      <c r="B142" s="13"/>
      <c r="C142" s="5" t="s">
        <v>29</v>
      </c>
      <c r="D142" s="10"/>
      <c r="F142" s="11">
        <v>0</v>
      </c>
      <c r="G142" s="11">
        <v>0</v>
      </c>
    </row>
    <row r="143" spans="3:7" ht="12.75">
      <c r="C143" s="5" t="s">
        <v>30</v>
      </c>
      <c r="D143" s="10"/>
      <c r="F143" s="11">
        <v>441</v>
      </c>
      <c r="G143" s="11">
        <v>0</v>
      </c>
    </row>
    <row r="144" spans="3:7" ht="12.75">
      <c r="C144" s="5" t="s">
        <v>31</v>
      </c>
      <c r="D144" s="10"/>
      <c r="F144" s="11">
        <v>551</v>
      </c>
      <c r="G144" s="11">
        <v>0</v>
      </c>
    </row>
    <row r="145" spans="3:7" ht="12.75">
      <c r="C145" s="5" t="s">
        <v>32</v>
      </c>
      <c r="D145" s="10"/>
      <c r="F145" s="11">
        <v>588</v>
      </c>
      <c r="G145" s="11">
        <v>0</v>
      </c>
    </row>
    <row r="146" spans="3:7" ht="12.75">
      <c r="C146" s="5" t="s">
        <v>33</v>
      </c>
      <c r="D146" s="10"/>
      <c r="F146" s="11">
        <v>551</v>
      </c>
      <c r="G146" s="11">
        <v>0</v>
      </c>
    </row>
    <row r="147" spans="3:7" ht="12.75">
      <c r="C147" s="5" t="s">
        <v>34</v>
      </c>
      <c r="D147" s="10"/>
      <c r="F147" s="11">
        <v>662</v>
      </c>
      <c r="G147" s="11">
        <v>0</v>
      </c>
    </row>
    <row r="148" spans="3:7" ht="12.75">
      <c r="C148" s="5" t="s">
        <v>35</v>
      </c>
      <c r="D148" s="10"/>
      <c r="F148" s="11">
        <v>772</v>
      </c>
      <c r="G148" s="11">
        <v>0</v>
      </c>
    </row>
    <row r="149" spans="3:7" ht="12.75">
      <c r="C149" s="5" t="s">
        <v>36</v>
      </c>
      <c r="D149" s="10"/>
      <c r="F149" s="11">
        <v>588</v>
      </c>
      <c r="G149" s="11">
        <v>0</v>
      </c>
    </row>
    <row r="150" spans="3:7" ht="12.75">
      <c r="C150" s="5" t="s">
        <v>37</v>
      </c>
      <c r="D150" s="10"/>
      <c r="F150" s="11">
        <v>662</v>
      </c>
      <c r="G150" s="11">
        <v>0</v>
      </c>
    </row>
    <row r="151" spans="3:7" ht="12.75">
      <c r="C151" s="5"/>
      <c r="D151" s="10"/>
      <c r="F151" s="17"/>
      <c r="G151" s="11"/>
    </row>
    <row r="152" spans="2:7" ht="12.75">
      <c r="B152" s="13" t="s">
        <v>39</v>
      </c>
      <c r="D152" s="13"/>
      <c r="F152" s="17"/>
      <c r="G152" s="11"/>
    </row>
    <row r="153" spans="2:7" ht="12.75">
      <c r="B153" s="13" t="s">
        <v>71</v>
      </c>
      <c r="C153" s="13"/>
      <c r="D153" s="13"/>
      <c r="F153" s="17"/>
      <c r="G153" s="11"/>
    </row>
    <row r="154" spans="3:7" ht="12.75">
      <c r="C154" s="5" t="s">
        <v>41</v>
      </c>
      <c r="F154" s="18">
        <f>(F142/Calculs!$F$16/12+F131)</f>
        <v>78.05</v>
      </c>
      <c r="G154" s="18">
        <f>(G142/Calculs!$F$16/12+G131)</f>
        <v>47</v>
      </c>
    </row>
    <row r="155" spans="3:7" ht="12.75">
      <c r="C155" s="5" t="s">
        <v>42</v>
      </c>
      <c r="F155" s="18">
        <f>(F143/Calculs!$F$16/12+F132)</f>
        <v>179.3312636326553</v>
      </c>
      <c r="G155" s="18">
        <f>(G143/Calculs!$F$16/12+G132)</f>
        <v>80.8</v>
      </c>
    </row>
    <row r="156" spans="3:7" ht="12.75">
      <c r="C156" s="5" t="s">
        <v>43</v>
      </c>
      <c r="F156" s="18">
        <f>(F144/Calculs!$F$16/12+F133)</f>
        <v>191.6587897088278</v>
      </c>
      <c r="G156" s="18">
        <f>(G144/Calculs!$F$16/12+G133)</f>
        <v>80.8</v>
      </c>
    </row>
    <row r="157" spans="3:7" ht="12.75">
      <c r="C157" s="5" t="s">
        <v>44</v>
      </c>
      <c r="F157" s="18">
        <f>(F145/Calculs!$F$16/12+F134)</f>
        <v>196.44168484354037</v>
      </c>
      <c r="G157" s="18">
        <f>(G145/Calculs!$F$16/12+G134)</f>
        <v>80.8</v>
      </c>
    </row>
    <row r="158" spans="3:7" ht="12.75">
      <c r="C158" s="5" t="s">
        <v>45</v>
      </c>
      <c r="F158" s="18">
        <f>(F146/Calculs!$F$16/12+F135)</f>
        <v>191.6587897088278</v>
      </c>
      <c r="G158" s="18">
        <f>(G146/Calculs!$F$16/12+G135)</f>
        <v>80.8</v>
      </c>
    </row>
    <row r="159" spans="3:7" ht="12.75">
      <c r="C159" s="5" t="s">
        <v>46</v>
      </c>
      <c r="F159" s="18">
        <f>(F147/Calculs!$F$16/12+F136)</f>
        <v>204.00747511296552</v>
      </c>
      <c r="G159" s="18">
        <f>(G147/Calculs!$F$16/12+G136)</f>
        <v>80.8</v>
      </c>
    </row>
    <row r="160" spans="3:7" ht="12.75">
      <c r="C160" s="5" t="s">
        <v>47</v>
      </c>
      <c r="F160" s="18">
        <f>(F148/Calculs!$F$16/12+F137)</f>
        <v>210.33500118913804</v>
      </c>
      <c r="G160" s="18">
        <f>(G148/Calculs!$F$16/12+G137)</f>
        <v>80.8</v>
      </c>
    </row>
    <row r="161" spans="3:7" ht="12.75">
      <c r="C161" s="5" t="s">
        <v>48</v>
      </c>
      <c r="F161" s="18">
        <f>(F149/Calculs!$F$16/12+F138)</f>
        <v>196.44168484354037</v>
      </c>
      <c r="G161" s="18">
        <f>(G149/Calculs!$F$16/12+G138)</f>
        <v>80.8</v>
      </c>
    </row>
    <row r="162" spans="3:7" ht="12.75">
      <c r="C162" s="5" t="s">
        <v>49</v>
      </c>
      <c r="F162" s="18">
        <f>(F150/Calculs!$F$16/12+F139)</f>
        <v>204.00747511296552</v>
      </c>
      <c r="G162" s="18">
        <f>(G150/Calculs!$F$16/12+G139)</f>
        <v>80.8</v>
      </c>
    </row>
    <row r="163" spans="3:7" ht="12.75">
      <c r="C163" s="5"/>
      <c r="D163" s="5"/>
      <c r="F163" s="17"/>
      <c r="G163" s="11"/>
    </row>
    <row r="164" spans="2:7" ht="12.75">
      <c r="B164" s="13" t="s">
        <v>50</v>
      </c>
      <c r="F164" s="17"/>
      <c r="G164" s="11"/>
    </row>
    <row r="165" spans="2:6" ht="12.75">
      <c r="B165" s="13" t="s">
        <v>51</v>
      </c>
      <c r="F165" s="1"/>
    </row>
    <row r="166" spans="3:7" ht="12.75">
      <c r="C166" s="5" t="s">
        <v>41</v>
      </c>
      <c r="F166" s="15">
        <f>F154/2</f>
        <v>39.025</v>
      </c>
      <c r="G166" s="15">
        <f>G154/2</f>
        <v>23.5</v>
      </c>
    </row>
    <row r="167" spans="3:7" ht="12.75">
      <c r="C167" s="5" t="s">
        <v>42</v>
      </c>
      <c r="F167" s="15">
        <f aca="true" t="shared" si="2" ref="F167:G174">F155/2</f>
        <v>89.66563181632765</v>
      </c>
      <c r="G167" s="15">
        <f t="shared" si="2"/>
        <v>40.4</v>
      </c>
    </row>
    <row r="168" spans="3:7" ht="12.75">
      <c r="C168" s="5" t="s">
        <v>43</v>
      </c>
      <c r="F168" s="15">
        <f t="shared" si="2"/>
        <v>95.8293948544139</v>
      </c>
      <c r="G168" s="15">
        <f t="shared" si="2"/>
        <v>40.4</v>
      </c>
    </row>
    <row r="169" spans="3:7" ht="12.75">
      <c r="C169" s="5" t="s">
        <v>44</v>
      </c>
      <c r="F169" s="15">
        <f t="shared" si="2"/>
        <v>98.22084242177019</v>
      </c>
      <c r="G169" s="15">
        <f t="shared" si="2"/>
        <v>40.4</v>
      </c>
    </row>
    <row r="170" spans="3:7" ht="12.75">
      <c r="C170" s="5" t="s">
        <v>45</v>
      </c>
      <c r="F170" s="15">
        <f t="shared" si="2"/>
        <v>95.8293948544139</v>
      </c>
      <c r="G170" s="15">
        <f t="shared" si="2"/>
        <v>40.4</v>
      </c>
    </row>
    <row r="171" spans="3:7" ht="12.75">
      <c r="C171" s="5" t="s">
        <v>46</v>
      </c>
      <c r="F171" s="15">
        <f t="shared" si="2"/>
        <v>102.00373755648276</v>
      </c>
      <c r="G171" s="15">
        <f t="shared" si="2"/>
        <v>40.4</v>
      </c>
    </row>
    <row r="172" spans="3:7" ht="12.75">
      <c r="C172" s="5" t="s">
        <v>47</v>
      </c>
      <c r="F172" s="15">
        <f t="shared" si="2"/>
        <v>105.16750059456902</v>
      </c>
      <c r="G172" s="15">
        <f t="shared" si="2"/>
        <v>40.4</v>
      </c>
    </row>
    <row r="173" spans="3:7" ht="12.75">
      <c r="C173" s="5" t="s">
        <v>48</v>
      </c>
      <c r="F173" s="15">
        <f t="shared" si="2"/>
        <v>98.22084242177019</v>
      </c>
      <c r="G173" s="15">
        <f t="shared" si="2"/>
        <v>40.4</v>
      </c>
    </row>
    <row r="174" spans="3:7" ht="12.75">
      <c r="C174" s="5" t="s">
        <v>49</v>
      </c>
      <c r="F174" s="15">
        <f t="shared" si="2"/>
        <v>102.00373755648276</v>
      </c>
      <c r="G174" s="15">
        <f t="shared" si="2"/>
        <v>40.4</v>
      </c>
    </row>
    <row r="175" spans="3:7" ht="12.75">
      <c r="C175" s="5"/>
      <c r="F175" s="15"/>
      <c r="G175" s="15"/>
    </row>
    <row r="176" spans="2:6" ht="12.75">
      <c r="B176" s="19" t="s">
        <v>52</v>
      </c>
      <c r="F176" s="1"/>
    </row>
    <row r="177" spans="3:7" ht="12.75">
      <c r="C177" s="5" t="s">
        <v>41</v>
      </c>
      <c r="F177" s="6">
        <f>F154/128</f>
        <v>0.609765625</v>
      </c>
      <c r="G177" s="6">
        <f>G154/128</f>
        <v>0.3671875</v>
      </c>
    </row>
    <row r="178" spans="3:7" ht="12.75">
      <c r="C178" s="5" t="s">
        <v>42</v>
      </c>
      <c r="F178" s="6">
        <f aca="true" t="shared" si="3" ref="F178:G185">F155/128</f>
        <v>1.4010254971301195</v>
      </c>
      <c r="G178" s="6">
        <f t="shared" si="3"/>
        <v>0.63125</v>
      </c>
    </row>
    <row r="179" spans="3:7" ht="12.75">
      <c r="C179" s="5" t="s">
        <v>43</v>
      </c>
      <c r="F179" s="6">
        <f t="shared" si="3"/>
        <v>1.4973342946002173</v>
      </c>
      <c r="G179" s="6">
        <f t="shared" si="3"/>
        <v>0.63125</v>
      </c>
    </row>
    <row r="180" spans="3:7" ht="12.75">
      <c r="C180" s="5" t="s">
        <v>44</v>
      </c>
      <c r="F180" s="6">
        <f t="shared" si="3"/>
        <v>1.5347006628401592</v>
      </c>
      <c r="G180" s="6">
        <f t="shared" si="3"/>
        <v>0.63125</v>
      </c>
    </row>
    <row r="181" spans="3:7" ht="12.75">
      <c r="C181" s="5" t="s">
        <v>45</v>
      </c>
      <c r="F181" s="6">
        <f t="shared" si="3"/>
        <v>1.4973342946002173</v>
      </c>
      <c r="G181" s="6">
        <f t="shared" si="3"/>
        <v>0.63125</v>
      </c>
    </row>
    <row r="182" spans="3:7" ht="12.75">
      <c r="C182" s="5" t="s">
        <v>46</v>
      </c>
      <c r="F182" s="6">
        <f t="shared" si="3"/>
        <v>1.5938083993200431</v>
      </c>
      <c r="G182" s="6">
        <f t="shared" si="3"/>
        <v>0.63125</v>
      </c>
    </row>
    <row r="183" spans="3:7" ht="12.75">
      <c r="C183" s="5" t="s">
        <v>47</v>
      </c>
      <c r="F183" s="6">
        <f t="shared" si="3"/>
        <v>1.643242196790141</v>
      </c>
      <c r="G183" s="6">
        <f t="shared" si="3"/>
        <v>0.63125</v>
      </c>
    </row>
    <row r="184" spans="3:7" ht="12.75">
      <c r="C184" s="5" t="s">
        <v>48</v>
      </c>
      <c r="F184" s="6">
        <f t="shared" si="3"/>
        <v>1.5347006628401592</v>
      </c>
      <c r="G184" s="6">
        <f t="shared" si="3"/>
        <v>0.63125</v>
      </c>
    </row>
    <row r="185" spans="3:7" ht="12.75">
      <c r="C185" s="5" t="s">
        <v>49</v>
      </c>
      <c r="D185" s="5"/>
      <c r="F185" s="6">
        <f t="shared" si="3"/>
        <v>1.5938083993200431</v>
      </c>
      <c r="G185" s="6">
        <f t="shared" si="3"/>
        <v>0.63125</v>
      </c>
    </row>
    <row r="186" spans="3:6" ht="13.5" customHeight="1">
      <c r="C186" s="5"/>
      <c r="F186" s="15"/>
    </row>
    <row r="187" spans="2:7" ht="12.75">
      <c r="B187" s="2" t="s">
        <v>72</v>
      </c>
      <c r="C187" s="3"/>
      <c r="D187" s="3"/>
      <c r="E187" s="3"/>
      <c r="F187" s="12" t="s">
        <v>1</v>
      </c>
      <c r="G187" s="4" t="s">
        <v>241</v>
      </c>
    </row>
    <row r="188" spans="2:7" ht="12.75">
      <c r="B188" s="13"/>
      <c r="C188" s="5"/>
      <c r="D188" s="5"/>
      <c r="F188" s="11"/>
      <c r="G188" s="11"/>
    </row>
    <row r="189" spans="2:7" ht="12.75">
      <c r="B189" s="13" t="s">
        <v>13</v>
      </c>
      <c r="C189" s="5"/>
      <c r="D189" s="10"/>
      <c r="F189" s="11"/>
      <c r="G189" s="11"/>
    </row>
    <row r="190" spans="3:7" ht="12.75">
      <c r="C190" s="5" t="s">
        <v>54</v>
      </c>
      <c r="F190" s="11">
        <v>3100</v>
      </c>
      <c r="G190" s="11">
        <v>1800</v>
      </c>
    </row>
    <row r="191" spans="3:7" ht="12.75">
      <c r="C191" s="5" t="s">
        <v>16</v>
      </c>
      <c r="F191" s="11">
        <v>2450</v>
      </c>
      <c r="G191" s="11">
        <v>1782.4</v>
      </c>
    </row>
    <row r="192" spans="3:7" ht="12.75">
      <c r="C192" s="5" t="s">
        <v>17</v>
      </c>
      <c r="D192" s="10"/>
      <c r="F192" s="11">
        <v>304.01</v>
      </c>
      <c r="G192" s="11">
        <v>180.93</v>
      </c>
    </row>
    <row r="193" spans="3:7" ht="12.75">
      <c r="C193" s="5" t="s">
        <v>18</v>
      </c>
      <c r="D193" s="10"/>
      <c r="F193" s="11">
        <v>274.14</v>
      </c>
      <c r="G193" s="11">
        <v>153.92</v>
      </c>
    </row>
    <row r="194" spans="3:7" ht="12.75">
      <c r="C194" s="5" t="s">
        <v>19</v>
      </c>
      <c r="D194" s="10"/>
      <c r="F194" s="11">
        <v>267.18</v>
      </c>
      <c r="G194" s="11">
        <v>143.66</v>
      </c>
    </row>
    <row r="195" spans="3:7" ht="12.75">
      <c r="C195" s="5" t="s">
        <v>20</v>
      </c>
      <c r="D195" s="10"/>
      <c r="F195" s="11">
        <v>257.6</v>
      </c>
      <c r="G195" s="11">
        <v>135.88</v>
      </c>
    </row>
    <row r="196" spans="3:7" ht="12.75">
      <c r="C196" s="5" t="s">
        <v>55</v>
      </c>
      <c r="D196" s="5"/>
      <c r="F196" s="11">
        <v>257.6</v>
      </c>
      <c r="G196" s="11">
        <v>135.88</v>
      </c>
    </row>
    <row r="197" spans="2:7" ht="12.75">
      <c r="B197" s="13"/>
      <c r="C197" s="5"/>
      <c r="D197" s="5"/>
      <c r="F197" s="11"/>
      <c r="G197" s="11"/>
    </row>
    <row r="198" spans="2:7" ht="12.75">
      <c r="B198" s="13" t="s">
        <v>57</v>
      </c>
      <c r="C198" s="5"/>
      <c r="D198" s="5"/>
      <c r="F198" s="11"/>
      <c r="G198" s="11"/>
    </row>
    <row r="199" spans="2:7" ht="12.75">
      <c r="B199" s="13"/>
      <c r="C199" s="5" t="s">
        <v>73</v>
      </c>
      <c r="D199" s="5"/>
      <c r="F199" s="11">
        <v>138.33</v>
      </c>
      <c r="G199" s="11">
        <v>123.29</v>
      </c>
    </row>
    <row r="200" spans="2:7" ht="12.75">
      <c r="B200" s="13"/>
      <c r="C200" s="20" t="s">
        <v>74</v>
      </c>
      <c r="D200" s="5"/>
      <c r="F200" s="11">
        <v>212.32</v>
      </c>
      <c r="G200" s="11">
        <v>163.99</v>
      </c>
    </row>
    <row r="201" spans="2:7" ht="12.75">
      <c r="B201" s="13"/>
      <c r="C201" s="5" t="s">
        <v>65</v>
      </c>
      <c r="D201" s="5"/>
      <c r="F201" s="11">
        <v>134.16</v>
      </c>
      <c r="G201" s="11">
        <v>95.33</v>
      </c>
    </row>
    <row r="202" spans="2:9" ht="12.75">
      <c r="B202" s="13"/>
      <c r="C202" s="5" t="s">
        <v>66</v>
      </c>
      <c r="D202" s="5"/>
      <c r="F202" s="11">
        <v>134.16</v>
      </c>
      <c r="G202" s="11">
        <v>97.73</v>
      </c>
      <c r="I202" s="5"/>
    </row>
    <row r="203" spans="2:9" ht="12.75">
      <c r="B203" s="13"/>
      <c r="C203" s="5"/>
      <c r="D203" s="5"/>
      <c r="F203" s="11"/>
      <c r="G203" s="11"/>
      <c r="I203" s="5"/>
    </row>
    <row r="204" spans="1:256" ht="12.75">
      <c r="A204" s="13"/>
      <c r="B204" s="13" t="s">
        <v>75</v>
      </c>
      <c r="C204" s="13"/>
      <c r="D204" s="13"/>
      <c r="E204" s="13"/>
      <c r="F204" s="11">
        <v>29.94</v>
      </c>
      <c r="G204" s="11">
        <v>29.94</v>
      </c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</row>
    <row r="205" spans="2:9" ht="12.75">
      <c r="B205" s="13"/>
      <c r="C205" s="5"/>
      <c r="D205" s="5"/>
      <c r="F205" s="11"/>
      <c r="G205" s="11"/>
      <c r="I205" s="5"/>
    </row>
    <row r="206" spans="2:9" ht="12.75">
      <c r="B206" s="2" t="s">
        <v>76</v>
      </c>
      <c r="C206" s="3"/>
      <c r="D206" s="3"/>
      <c r="E206" s="3"/>
      <c r="F206" s="12" t="s">
        <v>1</v>
      </c>
      <c r="G206" s="4" t="s">
        <v>241</v>
      </c>
      <c r="I206" s="5"/>
    </row>
    <row r="207" spans="2:9" ht="12.75">
      <c r="B207" s="25"/>
      <c r="C207" s="26"/>
      <c r="D207" s="26"/>
      <c r="E207" s="26"/>
      <c r="F207" s="27"/>
      <c r="G207" s="28"/>
      <c r="I207" s="5"/>
    </row>
    <row r="208" spans="2:9" ht="12.75">
      <c r="B208" s="13" t="s">
        <v>77</v>
      </c>
      <c r="F208" s="1"/>
      <c r="I208" s="5"/>
    </row>
    <row r="209" spans="3:7" ht="12.75">
      <c r="C209" s="5" t="s">
        <v>78</v>
      </c>
      <c r="F209" s="11">
        <f>1105</f>
        <v>1105</v>
      </c>
      <c r="G209" s="11">
        <f>350</f>
        <v>350</v>
      </c>
    </row>
    <row r="210" spans="3:7" ht="12.75">
      <c r="C210" s="5" t="s">
        <v>79</v>
      </c>
      <c r="D210" s="10"/>
      <c r="F210" s="11">
        <f>118.33</f>
        <v>118.33</v>
      </c>
      <c r="G210" s="11">
        <v>31</v>
      </c>
    </row>
    <row r="211" ht="12.75">
      <c r="G211" s="29"/>
    </row>
    <row r="212" ht="12.75">
      <c r="B212" s="13" t="s">
        <v>80</v>
      </c>
    </row>
    <row r="213" spans="3:7" ht="12.75">
      <c r="C213" s="5" t="s">
        <v>78</v>
      </c>
      <c r="F213" s="5">
        <v>500</v>
      </c>
      <c r="G213" s="11">
        <f>350</f>
        <v>350</v>
      </c>
    </row>
    <row r="214" spans="3:7" ht="12.75">
      <c r="C214" s="5" t="s">
        <v>79</v>
      </c>
      <c r="F214" s="18">
        <v>69.3</v>
      </c>
      <c r="G214" s="11">
        <v>31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79"/>
  <sheetViews>
    <sheetView workbookViewId="0" topLeftCell="A37">
      <selection activeCell="K63" sqref="K63"/>
    </sheetView>
  </sheetViews>
  <sheetFormatPr defaultColWidth="11.421875" defaultRowHeight="12.75" outlineLevelRow="1"/>
  <cols>
    <col min="1" max="1" width="2.8515625" style="1" customWidth="1"/>
    <col min="2" max="5" width="11.421875" style="1" customWidth="1"/>
    <col min="6" max="6" width="23.8515625" style="1" customWidth="1"/>
    <col min="7" max="7" width="11.28125" style="31" customWidth="1"/>
    <col min="8" max="8" width="9.140625" style="1" customWidth="1"/>
    <col min="9" max="16384" width="11.421875" style="1" customWidth="1"/>
  </cols>
  <sheetData>
    <row r="2" spans="2:7" ht="12.75">
      <c r="B2" s="2" t="s">
        <v>81</v>
      </c>
      <c r="C2" s="3"/>
      <c r="D2" s="3"/>
      <c r="E2" s="3"/>
      <c r="F2" s="30"/>
      <c r="G2" s="2"/>
    </row>
    <row r="3" spans="3:7" ht="12.75">
      <c r="C3" s="5" t="s">
        <v>81</v>
      </c>
      <c r="G3" s="13">
        <v>2</v>
      </c>
    </row>
    <row r="4" ht="12.75"/>
    <row r="5" spans="2:7" ht="12.75">
      <c r="B5" s="2" t="s">
        <v>82</v>
      </c>
      <c r="C5" s="3"/>
      <c r="D5" s="3"/>
      <c r="E5" s="3"/>
      <c r="F5" s="30"/>
      <c r="G5" s="2"/>
    </row>
    <row r="6" spans="2:7" ht="12.75">
      <c r="B6" s="25"/>
      <c r="C6" s="5" t="s">
        <v>82</v>
      </c>
      <c r="D6" s="26"/>
      <c r="E6" s="26"/>
      <c r="F6" s="32"/>
      <c r="G6" s="13">
        <v>1</v>
      </c>
    </row>
    <row r="7" ht="12.75"/>
    <row r="8" spans="2:7" ht="12.75">
      <c r="B8" s="2" t="s">
        <v>83</v>
      </c>
      <c r="C8" s="3"/>
      <c r="D8" s="3"/>
      <c r="E8" s="3"/>
      <c r="F8" s="30"/>
      <c r="G8" s="2"/>
    </row>
    <row r="9" spans="2:7" ht="12.75">
      <c r="B9" s="5"/>
      <c r="C9" s="5" t="s">
        <v>84</v>
      </c>
      <c r="F9" s="5"/>
      <c r="G9" s="33">
        <v>10000</v>
      </c>
    </row>
    <row r="10" spans="2:11" ht="16.5" customHeight="1">
      <c r="B10" s="5"/>
      <c r="C10" s="5" t="s">
        <v>85</v>
      </c>
      <c r="G10" s="33">
        <v>2</v>
      </c>
      <c r="H10" s="34"/>
      <c r="I10" s="34"/>
      <c r="J10" s="35"/>
      <c r="K10" s="35"/>
    </row>
    <row r="11" spans="2:7" ht="12.75">
      <c r="B11" s="5"/>
      <c r="C11" s="5" t="s">
        <v>86</v>
      </c>
      <c r="F11" s="5"/>
      <c r="G11" s="36">
        <v>4</v>
      </c>
    </row>
    <row r="12" spans="3:7" ht="12.75">
      <c r="C12" s="5" t="s">
        <v>87</v>
      </c>
      <c r="G12" s="13">
        <v>1</v>
      </c>
    </row>
    <row r="13" spans="3:7" ht="12.75">
      <c r="C13" s="5" t="s">
        <v>88</v>
      </c>
      <c r="G13" s="13">
        <v>4</v>
      </c>
    </row>
    <row r="14" ht="12.75"/>
    <row r="15" spans="2:7" ht="12.75">
      <c r="B15" s="2" t="s">
        <v>89</v>
      </c>
      <c r="C15" s="3"/>
      <c r="D15" s="3"/>
      <c r="E15" s="3"/>
      <c r="F15" s="30"/>
      <c r="G15" s="2"/>
    </row>
    <row r="16" spans="2:7" ht="12.75">
      <c r="B16" s="25"/>
      <c r="C16" s="5" t="s">
        <v>90</v>
      </c>
      <c r="D16" s="26"/>
      <c r="E16" s="26"/>
      <c r="F16" s="37"/>
      <c r="G16" s="92">
        <v>0.58</v>
      </c>
    </row>
    <row r="17" spans="3:7" ht="12.75">
      <c r="C17" s="5" t="s">
        <v>91</v>
      </c>
      <c r="D17" s="5"/>
      <c r="E17" s="5"/>
      <c r="G17" s="40">
        <v>0.2</v>
      </c>
    </row>
    <row r="18" spans="3:7" ht="12.75">
      <c r="C18" s="5" t="s">
        <v>92</v>
      </c>
      <c r="D18" s="5"/>
      <c r="E18" s="5"/>
      <c r="G18" s="40">
        <v>0.01</v>
      </c>
    </row>
    <row r="20" spans="2:7" ht="12.75">
      <c r="B20" s="2" t="s">
        <v>0</v>
      </c>
      <c r="C20" s="30"/>
      <c r="D20" s="30"/>
      <c r="E20" s="30"/>
      <c r="F20" s="30"/>
      <c r="G20" s="2"/>
    </row>
    <row r="21" spans="3:7" ht="12.75">
      <c r="C21" s="5" t="s">
        <v>93</v>
      </c>
      <c r="F21" s="15"/>
      <c r="G21" s="33">
        <v>3</v>
      </c>
    </row>
    <row r="22" spans="3:7" ht="12.75">
      <c r="C22" s="5" t="s">
        <v>94</v>
      </c>
      <c r="F22" s="15"/>
      <c r="G22" s="33">
        <f>G21</f>
        <v>3</v>
      </c>
    </row>
    <row r="23" spans="3:7" ht="12.75">
      <c r="C23" s="5" t="s">
        <v>95</v>
      </c>
      <c r="G23" s="38">
        <v>0.14</v>
      </c>
    </row>
    <row r="24" spans="3:7" ht="12.75">
      <c r="C24" s="5" t="s">
        <v>96</v>
      </c>
      <c r="F24" s="39"/>
      <c r="G24" s="40">
        <v>0.05</v>
      </c>
    </row>
    <row r="25" spans="3:7" ht="12.75">
      <c r="C25" s="5"/>
      <c r="F25" s="39"/>
      <c r="G25" s="40"/>
    </row>
    <row r="26" spans="2:7" ht="12.75">
      <c r="B26" s="2" t="s">
        <v>97</v>
      </c>
      <c r="C26" s="3"/>
      <c r="D26" s="3"/>
      <c r="E26" s="3"/>
      <c r="F26" s="30"/>
      <c r="G26" s="2"/>
    </row>
    <row r="27" spans="2:7" ht="12.75">
      <c r="B27" s="13" t="s">
        <v>12</v>
      </c>
      <c r="C27" s="5"/>
      <c r="F27" s="39"/>
      <c r="G27" s="40"/>
    </row>
    <row r="28" spans="3:7" ht="12.75">
      <c r="C28" s="5" t="s">
        <v>98</v>
      </c>
      <c r="D28" s="10"/>
      <c r="G28" s="41">
        <f>34000*6/11</f>
        <v>18545.454545454544</v>
      </c>
    </row>
    <row r="29" spans="3:7" ht="12.75">
      <c r="C29" s="5" t="s">
        <v>99</v>
      </c>
      <c r="D29" s="10"/>
      <c r="G29" s="41">
        <v>10</v>
      </c>
    </row>
    <row r="30" spans="3:7" ht="12.75">
      <c r="C30" s="5"/>
      <c r="D30" s="10"/>
      <c r="G30" s="41"/>
    </row>
    <row r="31" ht="12.75">
      <c r="B31" s="13" t="s">
        <v>100</v>
      </c>
    </row>
    <row r="32" spans="3:7" ht="12.75">
      <c r="C32" s="5" t="s">
        <v>101</v>
      </c>
      <c r="F32" s="11"/>
      <c r="G32" s="41">
        <v>5</v>
      </c>
    </row>
    <row r="33" spans="3:7" ht="12.75">
      <c r="C33" s="5" t="s">
        <v>102</v>
      </c>
      <c r="F33" s="11"/>
      <c r="G33" s="41">
        <v>4</v>
      </c>
    </row>
    <row r="34" spans="3:7" ht="12.75">
      <c r="C34" s="5" t="s">
        <v>103</v>
      </c>
      <c r="F34" s="11"/>
      <c r="G34" s="41">
        <f>G33/2</f>
        <v>2</v>
      </c>
    </row>
    <row r="35" spans="3:7" ht="12.75">
      <c r="C35" s="5"/>
      <c r="G35" s="33"/>
    </row>
    <row r="36" spans="2:7" ht="12.75">
      <c r="B36" s="13" t="s">
        <v>104</v>
      </c>
      <c r="C36" s="5"/>
      <c r="F36" s="39"/>
      <c r="G36" s="40"/>
    </row>
    <row r="37" spans="3:7" ht="12.75">
      <c r="C37" s="5" t="s">
        <v>105</v>
      </c>
      <c r="D37" s="10"/>
      <c r="E37" s="9"/>
      <c r="F37" s="16"/>
      <c r="G37" s="33">
        <f>G32</f>
        <v>5</v>
      </c>
    </row>
    <row r="38" spans="3:7" ht="12.75">
      <c r="C38" s="5" t="s">
        <v>106</v>
      </c>
      <c r="D38" s="10"/>
      <c r="E38" s="9"/>
      <c r="F38" s="16"/>
      <c r="G38" s="13">
        <v>3</v>
      </c>
    </row>
    <row r="39" spans="3:7" ht="12.75">
      <c r="C39" s="5"/>
      <c r="D39" s="10"/>
      <c r="F39" s="16"/>
      <c r="G39" s="13"/>
    </row>
    <row r="40" spans="2:7" ht="12.75">
      <c r="B40" s="13" t="s">
        <v>76</v>
      </c>
      <c r="C40" s="5"/>
      <c r="F40" s="39"/>
      <c r="G40" s="40"/>
    </row>
    <row r="41" spans="2:7" ht="12.75">
      <c r="B41" s="5"/>
      <c r="C41" s="5" t="s">
        <v>107</v>
      </c>
      <c r="D41" s="9"/>
      <c r="E41" s="9"/>
      <c r="F41" s="42"/>
      <c r="G41" s="43">
        <v>2</v>
      </c>
    </row>
    <row r="42" spans="2:7" ht="12.75">
      <c r="B42" s="5"/>
      <c r="C42" s="5" t="s">
        <v>93</v>
      </c>
      <c r="G42" s="43">
        <f>G37</f>
        <v>5</v>
      </c>
    </row>
    <row r="43" spans="3:7" ht="12.75">
      <c r="C43" s="5"/>
      <c r="D43" s="10"/>
      <c r="F43" s="16"/>
      <c r="G43" s="13"/>
    </row>
    <row r="44" spans="2:7" ht="12.75">
      <c r="B44" s="13" t="s">
        <v>108</v>
      </c>
      <c r="C44" s="5"/>
      <c r="D44" s="10"/>
      <c r="F44" s="16"/>
      <c r="G44" s="13"/>
    </row>
    <row r="45" spans="2:7" ht="14.25" customHeight="1">
      <c r="B45" s="13"/>
      <c r="C45" s="5" t="s">
        <v>109</v>
      </c>
      <c r="F45" s="11"/>
      <c r="G45" s="41">
        <v>50000</v>
      </c>
    </row>
    <row r="46" spans="2:7" ht="14.25" customHeight="1">
      <c r="B46" s="13"/>
      <c r="C46" s="5" t="s">
        <v>110</v>
      </c>
      <c r="F46" s="11"/>
      <c r="G46" s="41">
        <v>30000</v>
      </c>
    </row>
    <row r="47" spans="2:7" ht="14.25" customHeight="1">
      <c r="B47" s="13"/>
      <c r="C47" s="5" t="s">
        <v>111</v>
      </c>
      <c r="F47" s="11"/>
      <c r="G47" s="41">
        <v>10</v>
      </c>
    </row>
    <row r="48" spans="2:7" ht="14.25" customHeight="1">
      <c r="B48" s="13"/>
      <c r="C48" s="5" t="s">
        <v>112</v>
      </c>
      <c r="F48" s="11"/>
      <c r="G48" s="41">
        <v>0</v>
      </c>
    </row>
    <row r="49" spans="3:7" ht="12.75">
      <c r="C49" s="5"/>
      <c r="D49" s="10"/>
      <c r="F49" s="16"/>
      <c r="G49" s="13"/>
    </row>
    <row r="50" spans="2:7" ht="12.75">
      <c r="B50" s="13" t="s">
        <v>113</v>
      </c>
      <c r="C50" s="5"/>
      <c r="F50" s="39"/>
      <c r="G50" s="40"/>
    </row>
    <row r="51" spans="2:7" ht="12.75">
      <c r="B51" s="13"/>
      <c r="C51" s="5" t="s">
        <v>114</v>
      </c>
      <c r="F51" s="11"/>
      <c r="G51" s="41">
        <v>2</v>
      </c>
    </row>
    <row r="52" spans="2:7" ht="14.25" customHeight="1">
      <c r="B52" s="13"/>
      <c r="C52" s="5" t="s">
        <v>115</v>
      </c>
      <c r="F52" s="11"/>
      <c r="G52" s="41">
        <v>5</v>
      </c>
    </row>
    <row r="53" ht="12.75">
      <c r="C53" s="44"/>
    </row>
    <row r="55" spans="2:7" ht="12.75">
      <c r="B55" s="2" t="s">
        <v>116</v>
      </c>
      <c r="C55" s="3"/>
      <c r="D55" s="3"/>
      <c r="E55" s="3"/>
      <c r="F55" s="30"/>
      <c r="G55" s="2"/>
    </row>
    <row r="56" spans="2:7" ht="12.75">
      <c r="B56" s="25"/>
      <c r="C56" s="5" t="s">
        <v>117</v>
      </c>
      <c r="D56" s="5"/>
      <c r="F56" s="5"/>
      <c r="G56" s="33">
        <v>14000</v>
      </c>
    </row>
    <row r="57" spans="2:7" ht="12.75">
      <c r="B57" s="25"/>
      <c r="C57" s="5" t="s">
        <v>118</v>
      </c>
      <c r="D57" s="5"/>
      <c r="F57" s="5"/>
      <c r="G57" s="33">
        <f>(G56)/G58</f>
        <v>28</v>
      </c>
    </row>
    <row r="58" spans="2:7" ht="12.75">
      <c r="B58" s="5"/>
      <c r="C58" s="5" t="s">
        <v>119</v>
      </c>
      <c r="D58" s="5"/>
      <c r="F58" s="5"/>
      <c r="G58" s="33">
        <v>500</v>
      </c>
    </row>
    <row r="59" spans="3:7" ht="12.75">
      <c r="C59" s="5" t="s">
        <v>120</v>
      </c>
      <c r="D59" s="5"/>
      <c r="F59" s="5"/>
      <c r="G59" s="33">
        <v>5</v>
      </c>
    </row>
    <row r="60" spans="3:7" ht="12.75">
      <c r="C60" s="5" t="s">
        <v>121</v>
      </c>
      <c r="F60" s="5"/>
      <c r="G60" s="38">
        <v>0.1</v>
      </c>
    </row>
    <row r="61" spans="3:7" ht="12.75">
      <c r="C61" s="5" t="s">
        <v>106</v>
      </c>
      <c r="F61" s="5"/>
      <c r="G61" s="33">
        <f>G38</f>
        <v>3</v>
      </c>
    </row>
    <row r="63" spans="2:7" ht="12.75">
      <c r="B63" s="2" t="s">
        <v>122</v>
      </c>
      <c r="C63" s="3"/>
      <c r="D63" s="3"/>
      <c r="E63" s="3"/>
      <c r="F63" s="30"/>
      <c r="G63" s="2"/>
    </row>
    <row r="64" spans="2:7" ht="12.75">
      <c r="B64" s="5"/>
      <c r="C64" s="5" t="s">
        <v>123</v>
      </c>
      <c r="G64" s="45">
        <v>0.1359</v>
      </c>
    </row>
    <row r="65" spans="2:7" ht="12.75">
      <c r="B65" s="5"/>
      <c r="C65" s="5" t="s">
        <v>124</v>
      </c>
      <c r="F65" s="5"/>
      <c r="G65" s="38">
        <v>0.15</v>
      </c>
    </row>
    <row r="66" spans="2:7" ht="12.75">
      <c r="B66" s="5"/>
      <c r="C66" s="5"/>
      <c r="F66" s="5"/>
      <c r="G66" s="40"/>
    </row>
    <row r="67" spans="2:7" ht="12.75">
      <c r="B67" s="2" t="s">
        <v>125</v>
      </c>
      <c r="C67" s="3"/>
      <c r="D67" s="3"/>
      <c r="E67" s="3"/>
      <c r="F67" s="12"/>
      <c r="G67" s="12"/>
    </row>
    <row r="68" spans="2:7" ht="12.75">
      <c r="B68" s="46"/>
      <c r="C68" s="5" t="s">
        <v>126</v>
      </c>
      <c r="G68" s="47">
        <v>0.059</v>
      </c>
    </row>
    <row r="69" spans="2:7" ht="12.75">
      <c r="B69" s="46"/>
      <c r="C69" s="5" t="s">
        <v>127</v>
      </c>
      <c r="G69" s="38">
        <v>0.15</v>
      </c>
    </row>
    <row r="70" spans="2:6" ht="12.75" hidden="1" outlineLevel="1">
      <c r="B70" s="5"/>
      <c r="F70" s="5"/>
    </row>
    <row r="71" spans="2:7" ht="12.75" hidden="1" outlineLevel="1">
      <c r="B71" s="5"/>
      <c r="C71" s="48" t="s">
        <v>128</v>
      </c>
      <c r="E71" s="1" t="s">
        <v>129</v>
      </c>
      <c r="F71" s="5" t="s">
        <v>130</v>
      </c>
      <c r="G71" s="42">
        <v>38412</v>
      </c>
    </row>
    <row r="72" spans="3:7" ht="12.75" hidden="1" outlineLevel="1">
      <c r="C72" s="48" t="s">
        <v>131</v>
      </c>
      <c r="E72" s="1" t="s">
        <v>132</v>
      </c>
      <c r="F72" s="5" t="s">
        <v>133</v>
      </c>
      <c r="G72" s="42">
        <v>39692</v>
      </c>
    </row>
    <row r="73" ht="12.75" hidden="1" outlineLevel="1">
      <c r="C73" s="48" t="s">
        <v>134</v>
      </c>
    </row>
    <row r="74" ht="12.75" hidden="1" outlineLevel="1">
      <c r="C74" s="48" t="s">
        <v>135</v>
      </c>
    </row>
    <row r="75" ht="12.75" hidden="1" outlineLevel="1">
      <c r="C75" s="48" t="s">
        <v>136</v>
      </c>
    </row>
    <row r="76" spans="3:5" ht="12.75" hidden="1" outlineLevel="1">
      <c r="C76" s="48"/>
      <c r="E76" s="1" t="s">
        <v>137</v>
      </c>
    </row>
    <row r="77" ht="12.75" hidden="1" outlineLevel="1">
      <c r="E77" s="1" t="s">
        <v>138</v>
      </c>
    </row>
    <row r="78" ht="12.75" hidden="1" outlineLevel="1">
      <c r="E78" s="1" t="s">
        <v>56</v>
      </c>
    </row>
    <row r="79" ht="12.75" hidden="1" outlineLevel="1">
      <c r="E79" s="1" t="s">
        <v>139</v>
      </c>
    </row>
    <row r="80" ht="12.75" collapsed="1"/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60"/>
  <sheetViews>
    <sheetView workbookViewId="0" topLeftCell="A1">
      <selection activeCell="F162" sqref="F161:F162"/>
    </sheetView>
  </sheetViews>
  <sheetFormatPr defaultColWidth="11.421875" defaultRowHeight="12.75" outlineLevelRow="1"/>
  <cols>
    <col min="1" max="1" width="2.00390625" style="5" customWidth="1"/>
    <col min="2" max="2" width="10.28125" style="5" customWidth="1"/>
    <col min="3" max="3" width="55.7109375" style="5" bestFit="1" customWidth="1"/>
    <col min="4" max="4" width="13.421875" style="5" bestFit="1" customWidth="1"/>
    <col min="5" max="5" width="14.140625" style="50" customWidth="1"/>
    <col min="6" max="6" width="14.57421875" style="50" customWidth="1"/>
    <col min="7" max="16384" width="11.421875" style="5" customWidth="1"/>
  </cols>
  <sheetData>
    <row r="2" spans="2:6" ht="11.25">
      <c r="B2" s="2" t="s">
        <v>140</v>
      </c>
      <c r="C2" s="30"/>
      <c r="D2" s="30"/>
      <c r="E2" s="49"/>
      <c r="F2" s="49"/>
    </row>
    <row r="3" spans="3:6" ht="12.75">
      <c r="C3" s="5" t="s">
        <v>141</v>
      </c>
      <c r="D3" s="1"/>
      <c r="F3" s="51">
        <f>'Hypothèses et paramètres'!G9*'Hypothèses et paramètres'!G16*'Hypothèses et paramètres'!G17</f>
        <v>1160</v>
      </c>
    </row>
    <row r="4" spans="3:6" ht="12.75">
      <c r="C4" s="5" t="str">
        <f>"Nombre de lignes projetées à m + "&amp;'Hypothèses et paramètres'!G38&amp;" mois (pour le dimensionnement des câbles et DSLAMs)"</f>
        <v>Nombre de lignes projetées à m + 3 mois (pour le dimensionnement des câbles et DSLAMs)</v>
      </c>
      <c r="D4" s="1"/>
      <c r="F4" s="51">
        <f>F3*((1+'Hypothèses et paramètres'!G18)^'Hypothèses et paramètres'!G61)</f>
        <v>1195.14916</v>
      </c>
    </row>
    <row r="5" spans="3:6" ht="11.25">
      <c r="C5" s="5" t="s">
        <v>142</v>
      </c>
      <c r="F5" s="52">
        <f>ROUNDUP(F3/'Hypothèses et paramètres'!G58,0)</f>
        <v>3</v>
      </c>
    </row>
    <row r="6" spans="3:6" ht="11.25">
      <c r="C6" s="5" t="s">
        <v>143</v>
      </c>
      <c r="F6" s="52">
        <f>ROUNDUP(F4/'Hypothèses et paramètres'!G58,0)</f>
        <v>3</v>
      </c>
    </row>
    <row r="7" spans="3:6" ht="11.25">
      <c r="C7" s="5" t="s">
        <v>144</v>
      </c>
      <c r="F7" s="54">
        <f>ROUNDUP(IF(OR('Hypothèses et paramètres'!G10=3,'Hypothèses et paramètres'!G10=4),F5/'Hypothèses et paramètres'!G34,F5/'Hypothèses et paramètres'!G33),0)</f>
        <v>1</v>
      </c>
    </row>
    <row r="8" spans="3:6" ht="11.25">
      <c r="C8" s="5" t="s">
        <v>145</v>
      </c>
      <c r="F8" s="54">
        <f>ROUNDUP(IF(OR('Hypothèses et paramètres'!G10=3,'Hypothèses et paramètres'!G10=4),F6/'Hypothèses et paramètres'!G34,F6/'Hypothèses et paramètres'!G33),0)</f>
        <v>1</v>
      </c>
    </row>
    <row r="9" spans="3:6" ht="11.25">
      <c r="C9" s="5" t="s">
        <v>146</v>
      </c>
      <c r="E9" s="53"/>
      <c r="F9" s="52">
        <f>ROUNDUP(F3/128,0)</f>
        <v>10</v>
      </c>
    </row>
    <row r="10" spans="3:6" ht="11.25">
      <c r="C10" s="5" t="s">
        <v>147</v>
      </c>
      <c r="E10" s="53"/>
      <c r="F10" s="52">
        <f>ROUNDUP(F4/128,0)</f>
        <v>10</v>
      </c>
    </row>
    <row r="11" spans="3:6" ht="11.25">
      <c r="C11" s="5" t="s">
        <v>148</v>
      </c>
      <c r="E11" s="53"/>
      <c r="F11" s="54">
        <f>'Hypothèses et paramètres'!G41</f>
        <v>2</v>
      </c>
    </row>
    <row r="13" spans="2:6" ht="11.25">
      <c r="B13" s="2" t="s">
        <v>149</v>
      </c>
      <c r="C13" s="30"/>
      <c r="D13" s="30"/>
      <c r="E13" s="49"/>
      <c r="F13" s="49"/>
    </row>
    <row r="14" spans="3:6" ht="11.25">
      <c r="C14" s="5" t="s">
        <v>150</v>
      </c>
      <c r="F14" s="55">
        <f>(1+'Hypothèses et paramètres'!G64)*(1+'Hypothèses et paramètres'!G65)-1</f>
        <v>0.3062849999999997</v>
      </c>
    </row>
    <row r="15" spans="3:6" ht="11.25">
      <c r="C15" s="5" t="s">
        <v>151</v>
      </c>
      <c r="F15" s="56">
        <f>(((1+'Hypothèses et paramètres'!G64)^(-1))^('Hypothèses et paramètres'!G21)-1)/(((1+'Hypothèses et paramètres'!G64)^(-1))-1)</f>
        <v>2.6553914838877652</v>
      </c>
    </row>
    <row r="16" spans="3:6" ht="11.25">
      <c r="C16" s="5" t="s">
        <v>152</v>
      </c>
      <c r="F16" s="56">
        <f>(((1+'Hypothèses et paramètres'!G64)^(-1))^('Hypothèses et paramètres'!G37)-1)/(((1+'Hypothèses et paramètres'!G64)^(-1))-1)</f>
        <v>3.938373348641797</v>
      </c>
    </row>
    <row r="18" spans="2:6" ht="11.25">
      <c r="B18" s="2" t="s">
        <v>153</v>
      </c>
      <c r="C18" s="30"/>
      <c r="D18" s="30"/>
      <c r="E18" s="49" t="s">
        <v>154</v>
      </c>
      <c r="F18" s="49" t="s">
        <v>155</v>
      </c>
    </row>
    <row r="19" spans="3:6" ht="11.25">
      <c r="C19" s="5" t="s">
        <v>156</v>
      </c>
      <c r="D19" s="5" t="s">
        <v>157</v>
      </c>
      <c r="E19" s="53">
        <f>IF(AND('Hypothèses et paramètres'!G3=1,'Hypothèses et paramètres'!G6=1),'Offres de références'!F4,IF(AND('Hypothèses et paramètres'!G3=2,'Hypothèses et paramètres'!G6=1),'Offres de références'!G4,IF(AND('Hypothèses et paramètres'!G3=1,'Hypothèses et paramètres'!G6=2),'Offres de références'!F3,IF(AND('Hypothèses et paramètres'!G3=2,'Hypothèses et paramètres'!G6=2),'Offres de références'!G3))))*F3/F15/12</f>
        <v>1820.1961415711246</v>
      </c>
      <c r="F19" s="57">
        <f aca="true" t="shared" si="0" ref="F19:F24">E19/$F$3</f>
        <v>1.5691346048026935</v>
      </c>
    </row>
    <row r="20" spans="3:7" ht="11.25">
      <c r="C20" s="5" t="s">
        <v>158</v>
      </c>
      <c r="D20" s="5" t="s">
        <v>157</v>
      </c>
      <c r="E20" s="53">
        <f>(IF(AND('Hypothèses et paramètres'!G3=1,'Hypothèses et paramètres'!G6=1),'Offres de références'!F6,IF(AND('Hypothèses et paramètres'!G3=2,'Hypothèses et paramètres'!G6=1),'Offres de références'!G6,IF(AND('Hypothèses et paramètres'!G3=1,'Hypothèses et paramètres'!G6=2),'Offres de références'!F5,IF(AND('Hypothèses et paramètres'!G3=2,'Hypothèses et paramètres'!G6=2),'Offres de références'!G5))))*F3*'Hypothèses et paramètres'!G23)/((1+'Hypothèses et paramètres'!G64)^'Hypothèses et paramètres'!G21)/F15/12</f>
        <v>52.16115281525393</v>
      </c>
      <c r="F20" s="57">
        <f t="shared" si="0"/>
        <v>0.0449665110476327</v>
      </c>
      <c r="G20" s="58"/>
    </row>
    <row r="21" spans="3:6" ht="11.25">
      <c r="C21" s="5" t="s">
        <v>6</v>
      </c>
      <c r="D21" s="5" t="s">
        <v>157</v>
      </c>
      <c r="E21" s="53">
        <f>IF('Hypothèses et paramètres'!G6=2,IF('Hypothèses et paramètres'!G3=1,F3*'Offres de références'!F7,F3*'Offres de références'!G7),0)</f>
        <v>0</v>
      </c>
      <c r="F21" s="57">
        <f t="shared" si="0"/>
        <v>0</v>
      </c>
    </row>
    <row r="22" spans="3:6" ht="11.25">
      <c r="C22" s="5" t="s">
        <v>7</v>
      </c>
      <c r="D22" s="5" t="s">
        <v>157</v>
      </c>
      <c r="E22" s="53">
        <f>IF('Hypothèses et paramètres'!G6=2,IF('Hypothèses et paramètres'!G3=1,F3*'Offres de références'!F8,F3*'Offres de références'!G8),0)</f>
        <v>0</v>
      </c>
      <c r="F22" s="57">
        <f t="shared" si="0"/>
        <v>0</v>
      </c>
    </row>
    <row r="23" spans="3:6" ht="11.25">
      <c r="C23" s="5" t="s">
        <v>8</v>
      </c>
      <c r="D23" s="5" t="s">
        <v>157</v>
      </c>
      <c r="E23" s="53">
        <f>IF('Hypothèses et paramètres'!G6=1,IF('Hypothèses et paramètres'!G3=1,F3*'Offres de références'!F9,F3*'Offres de références'!G9),0)</f>
        <v>10776.4</v>
      </c>
      <c r="F23" s="57">
        <f t="shared" si="0"/>
        <v>9.29</v>
      </c>
    </row>
    <row r="24" spans="3:6" ht="11.25">
      <c r="C24" s="5" t="s">
        <v>159</v>
      </c>
      <c r="D24" s="5" t="s">
        <v>157</v>
      </c>
      <c r="E24" s="53">
        <f>IF('Hypothèses et paramètres'!G3=1,'Offres de références'!F10,'Offres de références'!G10)*F3*'Hypothèses et paramètres'!G24/F15/12</f>
        <v>74.6280418044161</v>
      </c>
      <c r="F24" s="57">
        <f t="shared" si="0"/>
        <v>0.06433451879691043</v>
      </c>
    </row>
    <row r="25" spans="5:6" ht="11.25">
      <c r="E25" s="53"/>
      <c r="F25" s="57"/>
    </row>
    <row r="26" spans="3:6" ht="11.25">
      <c r="C26" s="13" t="s">
        <v>160</v>
      </c>
      <c r="D26" s="5" t="s">
        <v>157</v>
      </c>
      <c r="E26" s="53">
        <f>SUM(E19:E25)</f>
        <v>12723.385336190793</v>
      </c>
      <c r="F26" s="57">
        <f>E26/$F$3</f>
        <v>10.968435634647236</v>
      </c>
    </row>
    <row r="29" spans="2:6" ht="11.25">
      <c r="B29" s="2" t="s">
        <v>116</v>
      </c>
      <c r="C29" s="30"/>
      <c r="D29" s="30"/>
      <c r="E29" s="49" t="s">
        <v>154</v>
      </c>
      <c r="F29" s="49" t="s">
        <v>155</v>
      </c>
    </row>
    <row r="30" spans="3:5" ht="11.25">
      <c r="C30" s="5" t="s">
        <v>161</v>
      </c>
      <c r="D30" s="5" t="s">
        <v>162</v>
      </c>
      <c r="E30" s="59">
        <f>'Hypothèses et paramètres'!G56/((1-(1+F14)^(-'Hypothèses et paramètres'!G59))/F14)/(1+F14)</f>
        <v>4453.448602735387</v>
      </c>
    </row>
    <row r="31" spans="3:6" ht="11.25">
      <c r="C31" s="5" t="s">
        <v>163</v>
      </c>
      <c r="D31" s="5" t="s">
        <v>162</v>
      </c>
      <c r="E31" s="59">
        <f>'Hypothèses et paramètres'!G56*'Hypothèses et paramètres'!G60</f>
        <v>1400</v>
      </c>
      <c r="F31" s="59"/>
    </row>
    <row r="32" spans="3:6" ht="11.25">
      <c r="C32" s="13" t="s">
        <v>164</v>
      </c>
      <c r="D32" s="5" t="s">
        <v>157</v>
      </c>
      <c r="E32" s="53">
        <f>((E30+E31)/2/12)</f>
        <v>243.89369178064112</v>
      </c>
      <c r="F32" s="57">
        <f>E32/$F$3</f>
        <v>0.2102531825695182</v>
      </c>
    </row>
    <row r="33" spans="3:6" ht="11.25">
      <c r="C33" s="5" t="s">
        <v>165</v>
      </c>
      <c r="D33" s="5" t="s">
        <v>166</v>
      </c>
      <c r="E33" s="60">
        <f>(E30+E31)/'Hypothèses et paramètres'!G58/12</f>
        <v>0.9755747671225645</v>
      </c>
      <c r="F33" s="61"/>
    </row>
    <row r="34" spans="3:6" ht="11.25">
      <c r="C34" s="13" t="s">
        <v>167</v>
      </c>
      <c r="D34" s="5" t="s">
        <v>157</v>
      </c>
      <c r="E34" s="53">
        <f>E33*F4</f>
        <v>1165.9573634437286</v>
      </c>
      <c r="F34" s="57">
        <f>E34/$F$3</f>
        <v>1.0051356581411452</v>
      </c>
    </row>
    <row r="35" spans="3:6" ht="11.25">
      <c r="C35" s="13"/>
      <c r="D35" s="13"/>
      <c r="E35" s="53"/>
      <c r="F35" s="62"/>
    </row>
    <row r="36" spans="3:6" ht="11.25">
      <c r="C36" s="13" t="s">
        <v>168</v>
      </c>
      <c r="D36" s="5" t="s">
        <v>157</v>
      </c>
      <c r="E36" s="53">
        <f>E32+E34</f>
        <v>1409.8510552243697</v>
      </c>
      <c r="F36" s="57">
        <v>2.9106785252861878</v>
      </c>
    </row>
    <row r="37" spans="3:6" ht="11.25">
      <c r="C37" s="63"/>
      <c r="D37" s="63"/>
      <c r="E37" s="64"/>
      <c r="F37" s="56"/>
    </row>
    <row r="38" spans="2:6" ht="11.25">
      <c r="B38" s="2" t="s">
        <v>12</v>
      </c>
      <c r="C38" s="30"/>
      <c r="D38" s="12"/>
      <c r="E38" s="49" t="s">
        <v>154</v>
      </c>
      <c r="F38" s="49" t="s">
        <v>155</v>
      </c>
    </row>
    <row r="39" spans="2:5" ht="11.25">
      <c r="B39" s="13" t="s">
        <v>169</v>
      </c>
      <c r="C39" s="25"/>
      <c r="D39" s="25"/>
      <c r="E39" s="52"/>
    </row>
    <row r="40" spans="3:6" ht="11.25">
      <c r="C40" s="5" t="s">
        <v>170</v>
      </c>
      <c r="D40" s="5" t="s">
        <v>171</v>
      </c>
      <c r="E40" s="59">
        <f>'Hypothèses et paramètres'!G28/((1-(1+'Hypothèses et paramètres'!G64)^(-'Hypothèses et paramètres'!G29))/'Hypothèses et paramètres'!G64)/(1+'Hypothèses et paramètres'!G64)</f>
        <v>3080.116462169935</v>
      </c>
      <c r="F40" s="56"/>
    </row>
    <row r="41" spans="3:6" ht="11.25">
      <c r="C41" s="5" t="s">
        <v>172</v>
      </c>
      <c r="D41" s="5" t="s">
        <v>157</v>
      </c>
      <c r="E41" s="53">
        <f>(E40/12)*F8</f>
        <v>256.6763718474946</v>
      </c>
      <c r="F41" s="57">
        <f>E41/$F$3</f>
        <v>0.22127273435128844</v>
      </c>
    </row>
    <row r="42" spans="3:6" ht="11.25">
      <c r="C42" s="5" t="s">
        <v>173</v>
      </c>
      <c r="D42" s="5" t="s">
        <v>157</v>
      </c>
      <c r="E42" s="53">
        <f>IF('Hypothèses et paramètres'!G3=1,'Offres de références'!F18/F16/12*F8,IF('Hypothèses et paramètres'!G3=2,'Offres de références'!G18/F16/12*F8))</f>
        <v>37.71438616518089</v>
      </c>
      <c r="F42" s="57">
        <f>E42/$F$3</f>
        <v>0.03251240186653525</v>
      </c>
    </row>
    <row r="43" spans="3:6" ht="11.25" hidden="1" outlineLevel="1">
      <c r="C43" s="5" t="s">
        <v>17</v>
      </c>
      <c r="E43" s="59">
        <f>IF('Hypothèses et paramètres'!$G$3=1,'Offres de références'!F19*Calculs!$F$8+'Offres de références'!$F$24*($F$8/12),IF('Hypothèses et paramètres'!$G$3=2,'Offres de références'!G19*Calculs!$F$8+'Offres de références'!$G$24*($F$8/12)))</f>
        <v>163.74416666666667</v>
      </c>
      <c r="F43" s="57"/>
    </row>
    <row r="44" spans="3:6" ht="11.25" hidden="1" outlineLevel="1">
      <c r="C44" s="5" t="s">
        <v>18</v>
      </c>
      <c r="E44" s="59">
        <f>IF('Hypothèses et paramètres'!$G$3=1,'Offres de références'!F20*Calculs!$F$8+'Offres de références'!$F$24*($F$8/12),IF('Hypothèses et paramètres'!$G$3=2,'Offres de références'!G20*Calculs!$F$8+'Offres de références'!$G$24*($F$8/12)))</f>
        <v>121.70333333333332</v>
      </c>
      <c r="F44" s="57"/>
    </row>
    <row r="45" spans="3:6" ht="11.25" hidden="1" outlineLevel="1">
      <c r="C45" s="5" t="s">
        <v>19</v>
      </c>
      <c r="E45" s="59">
        <f>IF('Hypothèses et paramètres'!$G$3=1,'Offres de références'!F21*Calculs!$F$8+'Offres de références'!$F$24*$F$8/12,IF('Hypothèses et paramètres'!$G$3=2,'Offres de références'!G21*Calculs!$F$8+'Offres de références'!$G$24*$F$8/12))</f>
        <v>105.75166666666667</v>
      </c>
      <c r="F45" s="57"/>
    </row>
    <row r="46" spans="3:6" ht="11.25" hidden="1" outlineLevel="1">
      <c r="C46" s="5" t="s">
        <v>20</v>
      </c>
      <c r="E46" s="59">
        <f>IF('Hypothèses et paramètres'!$G$3=1,'Offres de références'!F22*Calculs!$F$8+'Offres de références'!$F$24*$F$8/12,IF('Hypothèses et paramètres'!$G$3=2,'Offres de références'!G22*Calculs!$F$8+'Offres de références'!$G$24*$F$8/12))</f>
        <v>93.65333333333334</v>
      </c>
      <c r="F46" s="57"/>
    </row>
    <row r="47" spans="3:6" ht="11.25" hidden="1" outlineLevel="1">
      <c r="C47" s="5" t="s">
        <v>21</v>
      </c>
      <c r="E47" s="59">
        <f>IF('Hypothèses et paramètres'!$G$3=1,'Offres de références'!F23*Calculs!$F$8+'Offres de références'!$F$24*$F$8/12,IF('Hypothèses et paramètres'!$G$3=2,'Offres de références'!G23*Calculs!$F$8+'Offres de références'!$G$24*$F$8/12))</f>
        <v>93.65333333333334</v>
      </c>
      <c r="F47" s="57"/>
    </row>
    <row r="48" spans="3:6" s="37" customFormat="1" ht="11.25" collapsed="1">
      <c r="C48" s="37" t="s">
        <v>174</v>
      </c>
      <c r="D48" s="5" t="s">
        <v>157</v>
      </c>
      <c r="E48" s="65">
        <f>(IF('Hypothèses et paramètres'!G11=1,Calculs!E43,IF('Hypothèses et paramètres'!G11=2,Calculs!E44,IF('Hypothèses et paramètres'!G11=3,Calculs!E45,IF('Hypothèses et paramètres'!G11=4,Calculs!E46,IF('Hypothèses et paramètres'!G11=5,Calculs!E47))))))</f>
        <v>93.65333333333334</v>
      </c>
      <c r="F48" s="66">
        <f>E48/$F$3</f>
        <v>0.08073563218390804</v>
      </c>
    </row>
    <row r="49" spans="5:6" ht="11.25">
      <c r="E49" s="67"/>
      <c r="F49" s="57"/>
    </row>
    <row r="50" spans="2:4" ht="11.25">
      <c r="B50" s="13" t="s">
        <v>175</v>
      </c>
      <c r="D50" s="16"/>
    </row>
    <row r="51" spans="3:6" ht="11.25" hidden="1" outlineLevel="1">
      <c r="C51" s="5" t="s">
        <v>176</v>
      </c>
      <c r="D51" s="11"/>
      <c r="E51" s="59">
        <f>IF('Hypothèses et paramètres'!$G$3=1,'Offres de références'!F68+$F$4*'Offres de références'!F79,IF('Hypothèses et paramètres'!$G$3=2,'Offres de références'!G68+'Offres de références'!G79*Calculs!$F$4))</f>
        <v>526.28500046875</v>
      </c>
      <c r="F51" s="68"/>
    </row>
    <row r="52" spans="3:6" ht="11.25" hidden="1" outlineLevel="1">
      <c r="C52" s="5" t="s">
        <v>177</v>
      </c>
      <c r="D52" s="17"/>
      <c r="E52" s="59">
        <f>IF('Hypothèses et paramètres'!$G$3=1,'Offres de références'!F69+$F$4*'Offres de références'!F80,IF('Hypothèses et paramètres'!$G$3=2,'Offres de références'!G69+'Offres de références'!G80*Calculs!$F$4))</f>
        <v>858.7790755312499</v>
      </c>
      <c r="F52" s="68"/>
    </row>
    <row r="53" spans="3:6" ht="11.25" hidden="1" outlineLevel="1">
      <c r="C53" s="5" t="s">
        <v>178</v>
      </c>
      <c r="D53" s="17"/>
      <c r="E53" s="59">
        <f>IF('Hypothèses et paramètres'!$G$3=1,'Offres de références'!F70+$F$4*'Offres de références'!F81,IF('Hypothèses et paramètres'!$G$3=2,'Offres de références'!G70+'Offres de références'!G81*Calculs!$F$4))</f>
        <v>858.7790755312499</v>
      </c>
      <c r="F53" s="68"/>
    </row>
    <row r="54" spans="3:6" ht="11.25" hidden="1" outlineLevel="1">
      <c r="C54" s="5" t="s">
        <v>179</v>
      </c>
      <c r="D54" s="17"/>
      <c r="E54" s="59">
        <f>IF('Hypothèses et paramètres'!$G$3=1,'Offres de références'!F71+$F$4*'Offres de références'!F82,IF('Hypothèses et paramètres'!$G$3=2,'Offres de références'!G71+'Offres de références'!G82*Calculs!$F$4))</f>
        <v>858.7790755312499</v>
      </c>
      <c r="F54" s="68"/>
    </row>
    <row r="55" spans="3:6" ht="11.25" hidden="1" outlineLevel="1">
      <c r="C55" s="5" t="s">
        <v>180</v>
      </c>
      <c r="D55" s="17"/>
      <c r="E55" s="59">
        <f>IF('Hypothèses et paramètres'!$G$3=1,'Offres de références'!F72+$F$4*'Offres de références'!F83,IF('Hypothèses et paramètres'!$G$3=2,'Offres de références'!G72+'Offres de références'!G83*Calculs!$F$4))</f>
        <v>858.7790755312499</v>
      </c>
      <c r="F55" s="68"/>
    </row>
    <row r="56" spans="3:6" ht="11.25" hidden="1" outlineLevel="1">
      <c r="C56" s="5" t="s">
        <v>181</v>
      </c>
      <c r="D56" s="17"/>
      <c r="E56" s="59">
        <f>IF('Hypothèses et paramètres'!$G$3=1,'Offres de références'!F73+$F$4*'Offres de références'!F84,IF('Hypothèses et paramètres'!$G$3=2,'Offres de références'!G73+'Offres de références'!G84*Calculs!$F$4))</f>
        <v>858.7790755312499</v>
      </c>
      <c r="F56" s="68"/>
    </row>
    <row r="57" spans="3:6" ht="11.25" hidden="1" outlineLevel="1">
      <c r="C57" s="5" t="s">
        <v>182</v>
      </c>
      <c r="D57" s="17"/>
      <c r="E57" s="59">
        <f>IF('Hypothèses et paramètres'!$G$3=1,'Offres de références'!F74+$F$4*'Offres de références'!F85,IF('Hypothèses et paramètres'!$G$3=2,'Offres de références'!G74+'Offres de références'!G85*Calculs!$F$4))</f>
        <v>858.7790755312499</v>
      </c>
      <c r="F57" s="68"/>
    </row>
    <row r="58" spans="3:6" ht="11.25" hidden="1" outlineLevel="1">
      <c r="C58" s="5" t="s">
        <v>183</v>
      </c>
      <c r="D58" s="17"/>
      <c r="E58" s="59">
        <f>IF('Hypothèses et paramètres'!$G$3=1,'Offres de références'!F75+$F$4*'Offres de références'!F86,IF('Hypothèses et paramètres'!$G$3=2,'Offres de références'!G75+'Offres de références'!G86*Calculs!$F$4))</f>
        <v>858.7790755312499</v>
      </c>
      <c r="F58" s="68"/>
    </row>
    <row r="59" spans="3:6" ht="11.25" hidden="1" outlineLevel="1">
      <c r="C59" s="5" t="s">
        <v>184</v>
      </c>
      <c r="D59" s="17"/>
      <c r="E59" s="59">
        <f>IF('Hypothèses et paramètres'!$G$3=1,'Offres de références'!F76+$F$4*'Offres de références'!F87,IF('Hypothèses et paramètres'!$G$3=2,'Offres de références'!G76+'Offres de références'!G87*Calculs!$F$4))</f>
        <v>858.7790755312499</v>
      </c>
      <c r="F59" s="68"/>
    </row>
    <row r="60" spans="3:6" s="13" customFormat="1" ht="11.25" collapsed="1">
      <c r="C60" s="5" t="s">
        <v>185</v>
      </c>
      <c r="D60" s="5" t="s">
        <v>157</v>
      </c>
      <c r="E60" s="56">
        <f>IF('Hypothèses et paramètres'!G12=1,Calculs!E51,IF('Hypothèses et paramètres'!G12=2,Calculs!E52,IF('Hypothèses et paramètres'!G12=3,Calculs!E53,IF(OR('Hypothèses et paramètres'!G12=4,'Hypothèses et paramètres'!G12=8),Calculs!E54,IF('Hypothèses et paramètres'!G12=5,Calculs!E55,IF('Hypothèses et paramètres'!G12=6,Calculs!E56,IF('Hypothèses et paramètres'!G12=7,Calculs!E57,IF('Hypothèses et paramètres'!G12=9,Calculs!E59,))))))))</f>
        <v>526.28500046875</v>
      </c>
      <c r="F60" s="56">
        <f>E60/$F$3</f>
        <v>0.4536939659213362</v>
      </c>
    </row>
    <row r="61" ht="11.25">
      <c r="F61" s="69"/>
    </row>
    <row r="62" spans="2:6" ht="11.25">
      <c r="B62" s="13" t="s">
        <v>186</v>
      </c>
      <c r="F62" s="69"/>
    </row>
    <row r="63" spans="3:6" ht="11.25">
      <c r="C63" s="11" t="s">
        <v>187</v>
      </c>
      <c r="D63" s="5" t="s">
        <v>157</v>
      </c>
      <c r="E63" s="53">
        <f>IF('Hypothèses et paramètres'!G13=4,('Hypothèses et paramètres'!G45/((1-(1+'Hypothèses et paramètres'!G64)^(-'Hypothèses et paramètres'!G47))/'Hypothèses et paramètres'!G64)/(1+'Hypothèses et paramètres'!G64))/12/11*F8+'Hypothèses et paramètres'!G48/11/12*F8,0)</f>
        <v>62.9108754528173</v>
      </c>
      <c r="F63" s="57">
        <f>E63/Calculs!$F$3</f>
        <v>0.05423351332139423</v>
      </c>
    </row>
    <row r="64" ht="11.25">
      <c r="F64" s="69"/>
    </row>
    <row r="65" spans="2:6" ht="11.25">
      <c r="B65" s="13" t="s">
        <v>188</v>
      </c>
      <c r="C65" s="25"/>
      <c r="D65" s="25"/>
      <c r="E65" s="52"/>
      <c r="F65" s="69"/>
    </row>
    <row r="66" spans="3:5" ht="11.25">
      <c r="C66" s="5" t="s">
        <v>189</v>
      </c>
      <c r="D66" s="11" t="s">
        <v>190</v>
      </c>
      <c r="E66" s="59">
        <f>'Hypothèses et paramètres'!G51*F3</f>
        <v>2320</v>
      </c>
    </row>
    <row r="67" spans="3:5" ht="11.25">
      <c r="C67" s="5" t="s">
        <v>191</v>
      </c>
      <c r="D67" s="5" t="s">
        <v>192</v>
      </c>
      <c r="E67" s="59">
        <f>IF('Hypothèses et paramètres'!G3=1,IF('Hypothèses et paramètres'!G13=1,'Offres de références'!F27,IF('Hypothèses et paramètres'!G13=2,'Offres de références'!F28,IF('Hypothèses et paramètres'!G13=3,0,IF('Hypothèses et paramètres'!G13=4,'Offres de références'!F29)))),IF('Hypothèses et paramètres'!G3=2,IF('Hypothèses et paramètres'!G13=1,'Offres de références'!G27,IF('Hypothèses et paramètres'!G13=2,'Offres de références'!G28,IF('Hypothèses et paramètres'!G13=3,0,IF('Hypothèses et paramètres'!G13=4,'Offres de références'!G29))))))</f>
        <v>179.57083333333333</v>
      </c>
    </row>
    <row r="68" spans="3:6" ht="11.25">
      <c r="C68" s="13" t="s">
        <v>193</v>
      </c>
      <c r="D68" s="5" t="s">
        <v>157</v>
      </c>
      <c r="E68" s="53">
        <f>(E67*E66/1000)</f>
        <v>416.60433333333333</v>
      </c>
      <c r="F68" s="56">
        <f>E68/Calculs!$F$3</f>
        <v>0.35914166666666664</v>
      </c>
    </row>
    <row r="69" spans="3:6" ht="11.25">
      <c r="C69" s="41" t="s">
        <v>194</v>
      </c>
      <c r="D69" s="5" t="s">
        <v>157</v>
      </c>
      <c r="E69" s="53">
        <f>IF('Hypothèses et paramètres'!G3=1,(E67-E67/2)+'Offres de références'!F30*'Hypothèses et paramètres'!G52/12,(E67-E67/2)+'Offres de références'!G30*'Hypothèses et paramètres'!G52/12)</f>
        <v>131.45208333333332</v>
      </c>
      <c r="F69" s="56">
        <f>E69/Calculs!$F$3</f>
        <v>0.11332076149425287</v>
      </c>
    </row>
    <row r="70" spans="3:6" ht="11.25">
      <c r="C70" s="11" t="s">
        <v>195</v>
      </c>
      <c r="D70" s="5" t="s">
        <v>157</v>
      </c>
      <c r="E70" s="53">
        <f>E68+E69</f>
        <v>548.0564166666667</v>
      </c>
      <c r="F70" s="57">
        <f>E70/Calculs!$F$3</f>
        <v>0.47246242816091955</v>
      </c>
    </row>
    <row r="71" spans="3:6" ht="11.25">
      <c r="C71" s="11"/>
      <c r="E71" s="53"/>
      <c r="F71" s="56"/>
    </row>
    <row r="72" spans="2:6" ht="11.25">
      <c r="B72" s="13" t="s">
        <v>196</v>
      </c>
      <c r="D72" s="5" t="s">
        <v>157</v>
      </c>
      <c r="E72" s="51">
        <f>E60+E70+E48+E42+E41+E63</f>
        <v>1525.2963839342426</v>
      </c>
      <c r="F72" s="57">
        <f>E72/Calculs!$F$3</f>
        <v>1.3149106758053815</v>
      </c>
    </row>
    <row r="73" ht="11.25">
      <c r="F73" s="69"/>
    </row>
    <row r="74" spans="2:6" ht="11.25">
      <c r="B74" s="2" t="s">
        <v>53</v>
      </c>
      <c r="C74" s="30"/>
      <c r="D74" s="12"/>
      <c r="E74" s="49" t="s">
        <v>154</v>
      </c>
      <c r="F74" s="49" t="s">
        <v>155</v>
      </c>
    </row>
    <row r="75" ht="11.25">
      <c r="B75" s="13" t="s">
        <v>197</v>
      </c>
    </row>
    <row r="76" spans="3:6" ht="11.25">
      <c r="C76" s="5" t="s">
        <v>173</v>
      </c>
      <c r="D76" s="5" t="s">
        <v>157</v>
      </c>
      <c r="E76" s="53">
        <f>IF('Hypothèses et paramètres'!G3=1,('Offres de références'!F95+'Offres de références'!F94)*F8,IF('Hypothèses et paramètres'!G3=2,('Offres de références'!G95+'Offres de références'!G94)*F8))/F16/12</f>
        <v>84.26490768863128</v>
      </c>
      <c r="F76" s="57">
        <f>E76/$F$3</f>
        <v>0.07264216180054421</v>
      </c>
    </row>
    <row r="77" spans="3:6" ht="11.25" hidden="1" outlineLevel="1">
      <c r="C77" s="5" t="s">
        <v>17</v>
      </c>
      <c r="E77" s="59">
        <f>IF('Hypothèses et paramètres'!$G$3=1,'Offres de références'!F96*Calculs!$F$8,IF('Hypothèses et paramètres'!$G$3=2,'Offres de références'!G96*Calculs!$F$8))</f>
        <v>268.21</v>
      </c>
      <c r="F77" s="61"/>
    </row>
    <row r="78" spans="3:6" ht="11.25" hidden="1" outlineLevel="1">
      <c r="C78" s="5" t="s">
        <v>18</v>
      </c>
      <c r="E78" s="59">
        <f>IF('Hypothèses et paramètres'!$G$3=1,'Offres de références'!F97*Calculs!$F$8,IF('Hypothèses et paramètres'!$G$3=2,'Offres de références'!G97*Calculs!$F$8))</f>
        <v>218.21</v>
      </c>
      <c r="F78" s="61"/>
    </row>
    <row r="79" spans="3:6" ht="11.25" hidden="1" outlineLevel="1">
      <c r="C79" s="5" t="s">
        <v>19</v>
      </c>
      <c r="E79" s="59">
        <f>IF('Hypothèses et paramètres'!$G$3=1,'Offres de références'!F98*Calculs!$F$8,IF('Hypothèses et paramètres'!$G$3=2,'Offres de références'!G98*Calculs!$F$8))</f>
        <v>202.15</v>
      </c>
      <c r="F79" s="61"/>
    </row>
    <row r="80" spans="3:6" ht="11.25" hidden="1" outlineLevel="1">
      <c r="C80" s="5" t="s">
        <v>20</v>
      </c>
      <c r="E80" s="59">
        <f>IF('Hypothèses et paramètres'!$G$3=1,'Offres de références'!F99*Calculs!$F$8,IF('Hypothèses et paramètres'!$G$3=2,'Offres de références'!G99*Calculs!$F$8))</f>
        <v>189.97</v>
      </c>
      <c r="F80" s="61"/>
    </row>
    <row r="81" spans="3:6" ht="11.25" hidden="1" outlineLevel="1">
      <c r="C81" s="5" t="s">
        <v>21</v>
      </c>
      <c r="E81" s="59">
        <f>IF('Hypothèses et paramètres'!$G$3=1,'Offres de références'!F100*Calculs!$F$8,IF('Hypothèses et paramètres'!$G$3=2,'Offres de références'!G100*Calculs!$F$8))</f>
        <v>189.97</v>
      </c>
      <c r="F81" s="61"/>
    </row>
    <row r="82" spans="3:6" ht="11.25" collapsed="1">
      <c r="C82" s="37" t="s">
        <v>174</v>
      </c>
      <c r="D82" s="5" t="s">
        <v>157</v>
      </c>
      <c r="E82" s="53">
        <f>IF('Hypothèses et paramètres'!G11=1,Calculs!E77,IF('Hypothèses et paramètres'!G11=2,Calculs!E78,IF('Hypothèses et paramètres'!G11=3,Calculs!E79,IF('Hypothèses et paramètres'!G11=4,Calculs!E80,IF('Hypothèses et paramètres'!G11=5,Calculs!E81)))))</f>
        <v>189.97</v>
      </c>
      <c r="F82" s="57">
        <f>E82/$F$3</f>
        <v>0.16376724137931034</v>
      </c>
    </row>
    <row r="83" spans="3:6" ht="11.25">
      <c r="C83" s="37"/>
      <c r="E83" s="53"/>
      <c r="F83" s="57"/>
    </row>
    <row r="84" spans="2:6" ht="11.25">
      <c r="B84" s="13" t="s">
        <v>198</v>
      </c>
      <c r="F84" s="61"/>
    </row>
    <row r="85" spans="3:6" ht="11.25">
      <c r="C85" s="5" t="s">
        <v>173</v>
      </c>
      <c r="D85" s="5" t="s">
        <v>157</v>
      </c>
      <c r="E85" s="53">
        <f>IF('Hypothèses et paramètres'!G3=1,('Offres de références'!F103+'Offres de références'!F104)*F8,IF('Hypothèses et paramètres'!G3=2,('Offres de références'!G103+'Offres de références'!G104)*F8))/F16/12</f>
        <v>80.03304209559033</v>
      </c>
      <c r="F85" s="57">
        <f>E85/$F$3</f>
        <v>0.06899400180654339</v>
      </c>
    </row>
    <row r="86" spans="3:6" ht="11.25" hidden="1" outlineLevel="1">
      <c r="C86" s="5" t="s">
        <v>17</v>
      </c>
      <c r="E86" s="59">
        <f>IF('Hypothèses et paramètres'!$G$3=1,'Offres de références'!F105*Calculs!$F$8,IF('Hypothèses et paramètres'!$G$3=2,'Offres de références'!G105*Calculs!$F$8))</f>
        <v>216.71</v>
      </c>
      <c r="F86" s="61"/>
    </row>
    <row r="87" spans="3:6" ht="11.25" hidden="1" outlineLevel="1">
      <c r="C87" s="5" t="s">
        <v>18</v>
      </c>
      <c r="E87" s="59">
        <f>IF('Hypothèses et paramètres'!$G$3=1,'Offres de références'!F106*Calculs!$F$8,IF('Hypothèses et paramètres'!$G$3=2,'Offres de références'!G106*Calculs!$F$8))</f>
        <v>181.43</v>
      </c>
      <c r="F87" s="61"/>
    </row>
    <row r="88" spans="3:6" ht="11.25" hidden="1" outlineLevel="1">
      <c r="C88" s="5" t="s">
        <v>19</v>
      </c>
      <c r="E88" s="59">
        <f>IF('Hypothèses et paramètres'!$G$3=1,'Offres de références'!F107*Calculs!$F$8,IF('Hypothèses et paramètres'!$G$3=2,'Offres de références'!G107*Calculs!$F$8))</f>
        <v>168.04</v>
      </c>
      <c r="F88" s="61"/>
    </row>
    <row r="89" spans="3:6" ht="11.25" hidden="1" outlineLevel="1">
      <c r="C89" s="5" t="s">
        <v>20</v>
      </c>
      <c r="E89" s="59">
        <f>IF('Hypothèses et paramètres'!$G$3=1,'Offres de références'!F108*Calculs!$F$8,IF('Hypothèses et paramètres'!$G$3=2,'Offres de références'!G108*Calculs!$F$8))</f>
        <v>157.89</v>
      </c>
      <c r="F89" s="61"/>
    </row>
    <row r="90" spans="3:6" ht="11.25" hidden="1" outlineLevel="1">
      <c r="C90" s="5" t="s">
        <v>21</v>
      </c>
      <c r="E90" s="59">
        <f>IF('Hypothèses et paramètres'!$G$3=1,'Offres de références'!F109*Calculs!$F$8,IF('Hypothèses et paramètres'!$G$3=2,'Offres de références'!G109*Calculs!$F$8))</f>
        <v>157.89</v>
      </c>
      <c r="F90" s="61"/>
    </row>
    <row r="91" spans="3:6" ht="11.25" collapsed="1">
      <c r="C91" s="37" t="s">
        <v>174</v>
      </c>
      <c r="D91" s="5" t="s">
        <v>157</v>
      </c>
      <c r="E91" s="53">
        <f>IF('Hypothèses et paramètres'!G11=1,Calculs!E86,IF('Hypothèses et paramètres'!G11=2,Calculs!E87,IF('Hypothèses et paramètres'!G11=3,Calculs!E88,IF('Hypothèses et paramètres'!G11=4,Calculs!E89,IF('Hypothèses et paramètres'!G11=5,Calculs!E90)))))</f>
        <v>157.89</v>
      </c>
      <c r="F91" s="57">
        <f>E91/$F$3</f>
        <v>0.13611206896551722</v>
      </c>
    </row>
    <row r="92" spans="5:6" ht="11.25">
      <c r="E92" s="53"/>
      <c r="F92" s="57"/>
    </row>
    <row r="93" spans="2:6" ht="11.25">
      <c r="B93" s="13" t="s">
        <v>199</v>
      </c>
      <c r="D93" s="16"/>
      <c r="F93" s="61"/>
    </row>
    <row r="94" spans="3:6" ht="11.25" hidden="1" outlineLevel="1">
      <c r="C94" s="5" t="s">
        <v>176</v>
      </c>
      <c r="D94" s="11"/>
      <c r="E94" s="59">
        <f>IF('Hypothèses et paramètres'!$G$3=1,'Offres de références'!F166+'Offres de références'!F177*Calculs!$F$4,IF('Hypothèses et paramètres'!$G$3=2,'Offres de références'!G166+'Offres de références'!G177*Calculs!$F$4))</f>
        <v>462.34383218749997</v>
      </c>
      <c r="F94" s="62">
        <f aca="true" t="shared" si="1" ref="F94:F101">E94/$F$3</f>
        <v>0.39857226912715515</v>
      </c>
    </row>
    <row r="95" spans="3:6" ht="11.25" hidden="1" outlineLevel="1">
      <c r="C95" s="5" t="s">
        <v>177</v>
      </c>
      <c r="D95" s="17"/>
      <c r="E95" s="59">
        <f>IF('Hypothèses et paramètres'!$G$3=1,'Offres de références'!F167+'Offres de références'!F178*Calculs!$F$4,IF('Hypothèses et paramètres'!$G$3=2,'Offres de références'!G167+'Offres de références'!G178*Calculs!$F$4))</f>
        <v>794.83790725</v>
      </c>
      <c r="F95" s="62">
        <f t="shared" si="1"/>
        <v>0.6852050924568965</v>
      </c>
    </row>
    <row r="96" spans="3:6" ht="11.25" hidden="1" outlineLevel="1">
      <c r="C96" s="5" t="s">
        <v>178</v>
      </c>
      <c r="D96" s="17"/>
      <c r="E96" s="59">
        <f>IF('Hypothèses et paramètres'!$G$3=1,'Offres de références'!F168+'Offres de références'!F179*Calculs!$F$4,IF('Hypothèses et paramètres'!$G$3=2,'Offres de références'!G168+'Offres de références'!G179*Calculs!$F$4))</f>
        <v>794.83790725</v>
      </c>
      <c r="F96" s="62">
        <f t="shared" si="1"/>
        <v>0.6852050924568965</v>
      </c>
    </row>
    <row r="97" spans="3:6" ht="11.25" hidden="1" outlineLevel="1">
      <c r="C97" s="5" t="s">
        <v>179</v>
      </c>
      <c r="D97" s="17"/>
      <c r="E97" s="59">
        <f>IF('Hypothèses et paramètres'!$G$3=1,'Offres de références'!F169+'Offres de références'!F180*Calculs!$F$4,IF('Hypothèses et paramètres'!$G$3=2,'Offres de références'!G169+'Offres de références'!G180*Calculs!$F$4))</f>
        <v>794.83790725</v>
      </c>
      <c r="F97" s="62">
        <f t="shared" si="1"/>
        <v>0.6852050924568965</v>
      </c>
    </row>
    <row r="98" spans="3:6" ht="11.25" hidden="1" outlineLevel="1">
      <c r="C98" s="5" t="s">
        <v>180</v>
      </c>
      <c r="D98" s="17"/>
      <c r="E98" s="59">
        <f>IF('Hypothèses et paramètres'!$G$3=1,'Offres de références'!F170+'Offres de références'!F181*Calculs!$F$4,IF('Hypothèses et paramètres'!$G$3=2,'Offres de références'!G170+'Offres de références'!G181*Calculs!$F$4))</f>
        <v>794.83790725</v>
      </c>
      <c r="F98" s="62">
        <f t="shared" si="1"/>
        <v>0.6852050924568965</v>
      </c>
    </row>
    <row r="99" spans="3:6" ht="11.25" hidden="1" outlineLevel="1">
      <c r="C99" s="5" t="s">
        <v>181</v>
      </c>
      <c r="D99" s="17"/>
      <c r="E99" s="59">
        <f>IF('Hypothèses et paramètres'!$G$3=1,'Offres de références'!F171+'Offres de références'!F182*Calculs!$F$4,IF('Hypothèses et paramètres'!$G$3=2,'Offres de références'!G171+'Offres de références'!G182*Calculs!$F$4))</f>
        <v>794.83790725</v>
      </c>
      <c r="F99" s="62">
        <f t="shared" si="1"/>
        <v>0.6852050924568965</v>
      </c>
    </row>
    <row r="100" spans="3:6" ht="11.25" hidden="1" outlineLevel="1">
      <c r="C100" s="5" t="s">
        <v>182</v>
      </c>
      <c r="D100" s="17"/>
      <c r="E100" s="59">
        <f>IF('Hypothèses et paramètres'!$G$3=1,'Offres de références'!F172+'Offres de références'!F183*Calculs!$F$4,IF('Hypothèses et paramètres'!$G$3=2,'Offres de références'!G172+'Offres de références'!G183*Calculs!$F$4))</f>
        <v>794.83790725</v>
      </c>
      <c r="F100" s="62">
        <f t="shared" si="1"/>
        <v>0.6852050924568965</v>
      </c>
    </row>
    <row r="101" spans="3:6" ht="11.25" hidden="1" outlineLevel="1">
      <c r="C101" s="5" t="s">
        <v>183</v>
      </c>
      <c r="D101" s="17"/>
      <c r="E101" s="59">
        <f>IF('Hypothèses et paramètres'!$G$3=1,'Offres de références'!F173+'Offres de références'!F184*Calculs!$F$4,IF('Hypothèses et paramètres'!$G$3=2,'Offres de références'!G173+'Offres de références'!G184*Calculs!$F$4))</f>
        <v>794.83790725</v>
      </c>
      <c r="F101" s="62">
        <f t="shared" si="1"/>
        <v>0.6852050924568965</v>
      </c>
    </row>
    <row r="102" spans="3:6" ht="11.25" hidden="1" outlineLevel="1">
      <c r="C102" s="5" t="s">
        <v>184</v>
      </c>
      <c r="D102" s="17"/>
      <c r="E102" s="59">
        <f>IF('Hypothèses et paramètres'!$G$3=1,'Offres de références'!F174+'Offres de références'!F185*Calculs!$F$4,IF('Hypothèses et paramètres'!$G$3=2,'Offres de références'!G174+'Offres de références'!G185*Calculs!$F$4))</f>
        <v>794.83790725</v>
      </c>
      <c r="F102" s="62">
        <f>E102/$F$3</f>
        <v>0.6852050924568965</v>
      </c>
    </row>
    <row r="103" spans="3:6" s="13" customFormat="1" ht="11.25" collapsed="1">
      <c r="C103" s="5" t="s">
        <v>200</v>
      </c>
      <c r="D103" s="5" t="s">
        <v>157</v>
      </c>
      <c r="E103" s="53">
        <f>IF('Hypothèses et paramètres'!G12=1,Calculs!E94,IF('Hypothèses et paramètres'!G12=2,Calculs!E95,IF('Hypothèses et paramètres'!G12=3,Calculs!E96,IF(OR('Hypothèses et paramètres'!G12=4,'Hypothèses et paramètres'!G12=8),Calculs!E97,IF('Hypothèses et paramètres'!G12=5,Calculs!E98,IF('Hypothèses et paramètres'!G12=6,Calculs!E99,IF('Hypothèses et paramètres'!G12=7,Calculs!E100,IF('Hypothèses et paramètres'!G12=9,Calculs!E102,))))))))</f>
        <v>462.34383218749997</v>
      </c>
      <c r="F103" s="57">
        <f>E103/$F$3</f>
        <v>0.39857226912715515</v>
      </c>
    </row>
    <row r="104" ht="11.25">
      <c r="F104" s="69"/>
    </row>
    <row r="105" spans="2:6" ht="11.25">
      <c r="B105" s="13" t="s">
        <v>186</v>
      </c>
      <c r="F105" s="69"/>
    </row>
    <row r="106" spans="3:6" ht="11.25">
      <c r="C106" s="11" t="s">
        <v>187</v>
      </c>
      <c r="D106" s="5" t="s">
        <v>157</v>
      </c>
      <c r="E106" s="53">
        <f>IF('Hypothèses et paramètres'!G13=4,('Hypothèses et paramètres'!G46/((1-(1+'Hypothèses et paramètres'!G64)^(-'Hypothèses et paramètres'!G47))/'Hypothèses et paramètres'!G64)/(1+'Hypothèses et paramètres'!G64))/12/4*F8+'Hypothèses et paramètres'!G48/4/12*F8,0)</f>
        <v>103.80294449714854</v>
      </c>
      <c r="F106" s="57">
        <f>E106/Calculs!$F$3</f>
        <v>0.08948529698030047</v>
      </c>
    </row>
    <row r="107" ht="11.25">
      <c r="F107" s="61"/>
    </row>
    <row r="108" spans="2:6" ht="11.25">
      <c r="B108" s="13" t="s">
        <v>57</v>
      </c>
      <c r="C108" s="25"/>
      <c r="D108" s="25"/>
      <c r="E108" s="52"/>
      <c r="F108" s="61"/>
    </row>
    <row r="109" spans="3:6" ht="11.25">
      <c r="C109" s="5" t="s">
        <v>189</v>
      </c>
      <c r="D109" s="11" t="s">
        <v>190</v>
      </c>
      <c r="E109" s="59">
        <f>'Hypothèses et paramètres'!G51*F3</f>
        <v>2320</v>
      </c>
      <c r="F109" s="61"/>
    </row>
    <row r="110" spans="3:6" ht="11.25">
      <c r="C110" s="5" t="s">
        <v>201</v>
      </c>
      <c r="D110" s="5" t="s">
        <v>202</v>
      </c>
      <c r="E110" s="59">
        <f>IF('Hypothèses et paramètres'!G3=1,IF('Hypothèses et paramètres'!G13=1,'Offres de références'!F113/2+'Offres de références'!F119,IF('Hypothèses et paramètres'!G13=2,'Offres de références'!F114/2+'Offres de références'!F120,IF('Hypothèses et paramètres'!G13=3,'Offres de références'!F115/2+'Offres de références'!F121,IF('Hypothèses et paramètres'!G13=4,'Offres de références'!F124/2+'Offres de références'!F126)))),IF('Hypothèses et paramètres'!G3=2,IF('Hypothèses et paramètres'!G13=1,'Offres de références'!G113/2+'Offres de références'!G119,IF('Hypothèses et paramètres'!G13=2,'Offres de références'!G114/2+'Offres de références'!G120,IF('Hypothèses et paramètres'!G13=3,'Offres de références'!G115/2+'Offres de références'!G121,IF('Hypothèses et paramètres'!G13=4,'Offres de références'!G124/2+'Offres de références'!G126))))))</f>
        <v>200.16583333333335</v>
      </c>
      <c r="F110" s="61"/>
    </row>
    <row r="111" spans="3:6" ht="11.25">
      <c r="C111" s="13" t="s">
        <v>203</v>
      </c>
      <c r="D111" s="5" t="s">
        <v>157</v>
      </c>
      <c r="E111" s="53">
        <f>E110*E109/1000</f>
        <v>464.3847333333334</v>
      </c>
      <c r="F111" s="57">
        <f>E111/$F$3</f>
        <v>0.4003316666666667</v>
      </c>
    </row>
    <row r="112" spans="3:6" ht="11.25">
      <c r="C112" s="41" t="s">
        <v>194</v>
      </c>
      <c r="D112" s="5" t="s">
        <v>157</v>
      </c>
      <c r="E112" s="53">
        <f>IF('Hypothèses et paramètres'!G3=1,E110/2+'Offres de références'!F128*'Hypothèses et paramètres'!G52/12,E110/2+'Offres de références'!G128*'Hypothèses et paramètres'!G52/12)</f>
        <v>141.74958333333333</v>
      </c>
      <c r="F112" s="57">
        <f>E112/$F$3</f>
        <v>0.12219791666666667</v>
      </c>
    </row>
    <row r="113" spans="3:6" ht="11.25">
      <c r="C113" s="41" t="s">
        <v>195</v>
      </c>
      <c r="D113" s="5" t="s">
        <v>157</v>
      </c>
      <c r="E113" s="53">
        <f>E110*E109/1000+E112</f>
        <v>606.1343166666667</v>
      </c>
      <c r="F113" s="57">
        <f>E113/$F$3</f>
        <v>0.5225295833333333</v>
      </c>
    </row>
    <row r="114" spans="3:6" ht="11.25">
      <c r="C114" s="11"/>
      <c r="E114" s="59"/>
      <c r="F114" s="61"/>
    </row>
    <row r="115" spans="2:6" ht="11.25">
      <c r="B115" s="13" t="s">
        <v>204</v>
      </c>
      <c r="D115" s="5" t="s">
        <v>157</v>
      </c>
      <c r="E115" s="51">
        <f>E103+E113+E106+IF('Hypothèses et paramètres'!G10=3,E85+E91,IF('Hypothèses et paramètres'!G10=2,E82+E76))</f>
        <v>1446.5160010399463</v>
      </c>
      <c r="F115" s="57">
        <f>E115/Calculs!$F$3</f>
        <v>1.2469965526206435</v>
      </c>
    </row>
    <row r="117" spans="2:6" ht="11.25">
      <c r="B117" s="2" t="s">
        <v>205</v>
      </c>
      <c r="C117" s="30"/>
      <c r="D117" s="12"/>
      <c r="E117" s="49" t="s">
        <v>154</v>
      </c>
      <c r="F117" s="49" t="s">
        <v>155</v>
      </c>
    </row>
    <row r="118" ht="11.25">
      <c r="B118" s="13" t="s">
        <v>206</v>
      </c>
    </row>
    <row r="119" spans="3:6" ht="11.25">
      <c r="C119" s="5" t="s">
        <v>173</v>
      </c>
      <c r="D119" s="5" t="s">
        <v>157</v>
      </c>
      <c r="E119" s="53">
        <f>IF('Hypothèses et paramètres'!G3=1,('Offres de références'!F190+'Offres de références'!F191)*F8,IF('Hypothèses et paramètres'!G3=2,('Offres de références'!G190+'Offres de références'!G191)*F8))/F16/12</f>
        <v>75.80117650254938</v>
      </c>
      <c r="F119" s="56">
        <f>E119/$F$3</f>
        <v>0.06534584181254258</v>
      </c>
    </row>
    <row r="120" spans="3:5" ht="11.25" hidden="1" outlineLevel="1">
      <c r="C120" s="5" t="s">
        <v>17</v>
      </c>
      <c r="E120" s="59">
        <f>IF('Hypothèses et paramètres'!$G$3=1,'Offres de références'!F192*Calculs!$F$8,IF('Hypothèses et paramètres'!$G$3=2,'Offres de références'!G192*Calculs!$F$8))</f>
        <v>180.93</v>
      </c>
    </row>
    <row r="121" spans="3:5" ht="11.25" hidden="1" outlineLevel="1">
      <c r="C121" s="5" t="s">
        <v>18</v>
      </c>
      <c r="E121" s="59">
        <f>IF('Hypothèses et paramètres'!$G$3=1,'Offres de références'!F193*Calculs!$F$8,IF('Hypothèses et paramètres'!$G$3=2,'Offres de références'!G193*Calculs!$F$8))</f>
        <v>153.92</v>
      </c>
    </row>
    <row r="122" spans="3:5" ht="11.25" hidden="1" outlineLevel="1">
      <c r="C122" s="5" t="s">
        <v>19</v>
      </c>
      <c r="E122" s="59">
        <f>IF('Hypothèses et paramètres'!$G$3=1,'Offres de références'!F194*Calculs!$F$8,IF('Hypothèses et paramètres'!$G$3=2,'Offres de références'!G194*Calculs!$F$8))</f>
        <v>143.66</v>
      </c>
    </row>
    <row r="123" spans="3:5" ht="11.25" hidden="1" outlineLevel="1">
      <c r="C123" s="5" t="s">
        <v>20</v>
      </c>
      <c r="E123" s="59">
        <f>IF('Hypothèses et paramètres'!$G$3=1,'Offres de références'!F195*Calculs!$F$8,IF('Hypothèses et paramètres'!$G$3=2,'Offres de références'!G195*Calculs!$F$8))</f>
        <v>135.88</v>
      </c>
    </row>
    <row r="124" spans="3:5" ht="11.25" hidden="1" outlineLevel="1">
      <c r="C124" s="5" t="s">
        <v>21</v>
      </c>
      <c r="E124" s="59">
        <f>IF('Hypothèses et paramètres'!$G$3=1,'Offres de références'!F196*Calculs!$F$8,IF('Hypothèses et paramètres'!$G$3=2,'Offres de références'!G196*Calculs!$F$8))</f>
        <v>135.88</v>
      </c>
    </row>
    <row r="125" spans="3:6" ht="11.25" collapsed="1">
      <c r="C125" s="37" t="s">
        <v>174</v>
      </c>
      <c r="D125" s="5" t="s">
        <v>157</v>
      </c>
      <c r="E125" s="53">
        <f>IF('Hypothèses et paramètres'!G11=1,Calculs!E120,IF('Hypothèses et paramètres'!G11=2,Calculs!E121,IF('Hypothèses et paramètres'!G11=3,Calculs!E122,IF('Hypothèses et paramètres'!G11=4,Calculs!E123,IF('Hypothèses et paramètres'!G11=5,Calculs!E124)))))</f>
        <v>135.88</v>
      </c>
      <c r="F125" s="56">
        <f>E125/$F$3</f>
        <v>0.11713793103448275</v>
      </c>
    </row>
    <row r="127" ht="11.25">
      <c r="B127" s="13" t="s">
        <v>207</v>
      </c>
    </row>
    <row r="128" spans="3:5" ht="11.25">
      <c r="C128" s="5" t="s">
        <v>208</v>
      </c>
      <c r="D128" s="5" t="s">
        <v>157</v>
      </c>
      <c r="E128" s="50">
        <f>IF('Hypothèses et paramètres'!G3=1,'Offres de références'!F204/2,'Offres de références'!G204/2)</f>
        <v>14.97</v>
      </c>
    </row>
    <row r="129" spans="3:5" ht="11.25">
      <c r="C129" s="5" t="s">
        <v>209</v>
      </c>
      <c r="D129" s="5" t="s">
        <v>157</v>
      </c>
      <c r="E129" s="93">
        <f>IF('Hypothèses et paramètres'!G3=1,'Offres de références'!F204/128,'Offres de références'!G204/128)</f>
        <v>0.23390625</v>
      </c>
    </row>
    <row r="130" spans="3:6" ht="11.25">
      <c r="C130" s="5" t="s">
        <v>210</v>
      </c>
      <c r="D130" s="5" t="s">
        <v>157</v>
      </c>
      <c r="E130" s="94">
        <f>E128+E129*F4</f>
        <v>294.52285820625</v>
      </c>
      <c r="F130" s="56">
        <f>E130/$F$3</f>
        <v>0.25389901569504314</v>
      </c>
    </row>
    <row r="132" spans="2:6" ht="11.25">
      <c r="B132" s="13" t="s">
        <v>57</v>
      </c>
      <c r="C132" s="25"/>
      <c r="D132" s="25"/>
      <c r="E132" s="52"/>
      <c r="F132" s="61"/>
    </row>
    <row r="133" spans="3:6" ht="11.25">
      <c r="C133" s="5" t="s">
        <v>189</v>
      </c>
      <c r="D133" s="11" t="s">
        <v>190</v>
      </c>
      <c r="E133" s="59">
        <f>'Hypothèses et paramètres'!G51*F3</f>
        <v>2320</v>
      </c>
      <c r="F133" s="61"/>
    </row>
    <row r="134" spans="3:6" ht="11.25">
      <c r="C134" s="5" t="s">
        <v>201</v>
      </c>
      <c r="D134" s="5" t="s">
        <v>202</v>
      </c>
      <c r="E134" s="59">
        <f>IF('Hypothèses et paramètres'!G3=1,IF('Hypothèses et paramètres'!G13=1,'Offres de références'!F199+'Offres de références'!F201,IF('Hypothèses et paramètres'!G13=2,'Offres de références'!F200+'Offres de références'!F202,IF('Hypothèses et paramètres'!G13=3,0,IF('Hypothèses et paramètres'!G13=4,0)))),IF('Hypothèses et paramètres'!G3=2,IF('Hypothèses et paramètres'!G13=1,'Offres de références'!G199+'Offres de références'!G201,IF('Hypothèses et paramètres'!G13=2,'Offres de références'!G200+'Offres de références'!G202,IF('Hypothèses et paramètres'!G13=3,0,IF('Hypothèses et paramètres'!G13=4,0))))))</f>
        <v>0</v>
      </c>
      <c r="F134" s="61"/>
    </row>
    <row r="135" spans="3:6" ht="11.25">
      <c r="C135" s="13" t="s">
        <v>203</v>
      </c>
      <c r="D135" s="5" t="s">
        <v>157</v>
      </c>
      <c r="E135" s="59">
        <f>E134*E133/1000</f>
        <v>0</v>
      </c>
      <c r="F135" s="57">
        <f>E135/$F$3</f>
        <v>0</v>
      </c>
    </row>
    <row r="136" spans="3:6" ht="11.25">
      <c r="C136" s="41" t="s">
        <v>194</v>
      </c>
      <c r="D136" s="5" t="s">
        <v>157</v>
      </c>
      <c r="E136" s="59">
        <f>IF('Hypothèses et paramètres'!G22=1,E134/2+'Offres de références'!F147*'Hypothèses et paramètres'!G70/12,E134/2+'Offres de références'!G147*'Hypothèses et paramètres'!G70/12)</f>
        <v>0</v>
      </c>
      <c r="F136" s="57">
        <f>E136/$F$3</f>
        <v>0</v>
      </c>
    </row>
    <row r="137" spans="3:6" ht="11.25">
      <c r="C137" s="41" t="s">
        <v>195</v>
      </c>
      <c r="D137" s="5" t="s">
        <v>157</v>
      </c>
      <c r="E137" s="53">
        <f>E134*E133/1000+E136</f>
        <v>0</v>
      </c>
      <c r="F137" s="57">
        <f>E137/$F$3</f>
        <v>0</v>
      </c>
    </row>
    <row r="138" spans="3:6" ht="11.25">
      <c r="C138" s="11"/>
      <c r="E138" s="59"/>
      <c r="F138" s="61"/>
    </row>
    <row r="139" spans="2:6" ht="11.25">
      <c r="B139" s="13" t="s">
        <v>211</v>
      </c>
      <c r="D139" s="5" t="s">
        <v>157</v>
      </c>
      <c r="E139" s="51">
        <f>E119+E125+E130+E137</f>
        <v>506.2040347087994</v>
      </c>
      <c r="F139" s="57">
        <f>E139/Calculs!$F$3</f>
        <v>0.4363827885420684</v>
      </c>
    </row>
    <row r="141" spans="2:6" ht="11.25">
      <c r="B141" s="2" t="s">
        <v>212</v>
      </c>
      <c r="C141" s="30"/>
      <c r="D141" s="30"/>
      <c r="E141" s="49" t="s">
        <v>154</v>
      </c>
      <c r="F141" s="49" t="s">
        <v>155</v>
      </c>
    </row>
    <row r="142" spans="3:6" ht="11.25">
      <c r="C142" s="5" t="s">
        <v>156</v>
      </c>
      <c r="D142" s="5" t="s">
        <v>157</v>
      </c>
      <c r="E142" s="53">
        <f>(IF('Hypothèses et paramètres'!G3=1,F11*'Offres de références'!F209/F16/12,IF('Hypothèses et paramètres'!G3=2,F11*'Offres de références'!G209/F16/12)))</f>
        <v>14.811529575643304</v>
      </c>
      <c r="F142" s="57">
        <f>E142/$F$3</f>
        <v>0.012768559979002848</v>
      </c>
    </row>
    <row r="143" spans="3:6" ht="11.25">
      <c r="C143" s="5" t="s">
        <v>213</v>
      </c>
      <c r="D143" s="5" t="s">
        <v>157</v>
      </c>
      <c r="E143" s="53">
        <f>(IF('Hypothèses et paramètres'!G3=1,F11*'Offres de références'!F210,IF('Hypothèses et paramètres'!G3=2,F11*'Offres de références'!G210)))</f>
        <v>62</v>
      </c>
      <c r="F143" s="57">
        <f>E143/$F$3</f>
        <v>0.05344827586206897</v>
      </c>
    </row>
    <row r="144" spans="3:6" ht="11.25">
      <c r="C144" s="5" t="s">
        <v>214</v>
      </c>
      <c r="D144" s="5" t="s">
        <v>157</v>
      </c>
      <c r="E144" s="53">
        <f>SUM(E142:E143)</f>
        <v>76.8115295756433</v>
      </c>
      <c r="F144" s="56">
        <f>SUM(F142:F143)</f>
        <v>0.06621683584107181</v>
      </c>
    </row>
    <row r="145" ht="11.25">
      <c r="E145" s="53"/>
    </row>
    <row r="146" spans="2:6" ht="11.25">
      <c r="B146" s="2" t="s">
        <v>215</v>
      </c>
      <c r="C146" s="30"/>
      <c r="D146" s="30"/>
      <c r="E146" s="49" t="s">
        <v>154</v>
      </c>
      <c r="F146" s="49" t="s">
        <v>155</v>
      </c>
    </row>
    <row r="147" spans="3:6" ht="11.25">
      <c r="C147" s="5" t="s">
        <v>216</v>
      </c>
      <c r="D147" s="5" t="s">
        <v>157</v>
      </c>
      <c r="E147" s="53">
        <f>IF('Hypothèses et paramètres'!G3=1,'Offres de références'!F13/12,'Offres de références'!G13/12)</f>
        <v>125</v>
      </c>
      <c r="F147" s="57">
        <f>E147/$F$3</f>
        <v>0.10775862068965517</v>
      </c>
    </row>
    <row r="148" ht="11.25">
      <c r="E148" s="53"/>
    </row>
    <row r="149" spans="2:6" ht="11.25">
      <c r="B149" s="2" t="s">
        <v>217</v>
      </c>
      <c r="C149" s="30"/>
      <c r="D149" s="30"/>
      <c r="E149" s="49" t="s">
        <v>154</v>
      </c>
      <c r="F149" s="49" t="s">
        <v>155</v>
      </c>
    </row>
    <row r="150" spans="3:6" ht="11.25">
      <c r="C150" s="5" t="s">
        <v>218</v>
      </c>
      <c r="D150" s="5" t="s">
        <v>157</v>
      </c>
      <c r="E150" s="53">
        <f>IF('Hypothèses et paramètres'!G10=1,E144+E72+E36+E26+E147,IF(OR('Hypothèses et paramètres'!G10=2,'Hypothèses et paramètres'!G10=3),E144+E115+E36+E26+E147,IF('Hypothèses et paramètres'!G10=4,E144+E139+E36+E26+E147)))</f>
        <v>15781.563922030753</v>
      </c>
      <c r="F150" s="57">
        <f>E150/$F$3</f>
        <v>13.60479648450927</v>
      </c>
    </row>
    <row r="151" ht="11.25">
      <c r="E151" s="53"/>
    </row>
    <row r="152" spans="2:6" s="1" customFormat="1" ht="12.75">
      <c r="B152" s="2" t="s">
        <v>125</v>
      </c>
      <c r="C152" s="3"/>
      <c r="D152" s="12"/>
      <c r="E152" s="49" t="s">
        <v>154</v>
      </c>
      <c r="F152" s="49" t="s">
        <v>155</v>
      </c>
    </row>
    <row r="153" spans="2:6" s="1" customFormat="1" ht="12.75">
      <c r="B153" s="5"/>
      <c r="C153" s="5" t="s">
        <v>219</v>
      </c>
      <c r="D153" s="5" t="s">
        <v>157</v>
      </c>
      <c r="E153" s="51">
        <f>(IF('Hypothèses et paramètres'!G10=1,(E72),IF(OR('Hypothèses et paramètres'!G10=2,'Hypothèses et paramètres'!G10=3),(E115),IF('Hypothèses et paramètres'!G10=4,E139)))+E144+E147+E26)*'Hypothèses et paramètres'!G69</f>
        <v>2155.7569300209575</v>
      </c>
      <c r="F153" s="57">
        <f>E153/$F$3</f>
        <v>1.858411146569791</v>
      </c>
    </row>
    <row r="154" spans="2:7" s="1" customFormat="1" ht="12.75">
      <c r="B154" s="5"/>
      <c r="C154" s="5" t="s">
        <v>220</v>
      </c>
      <c r="D154" s="5" t="s">
        <v>157</v>
      </c>
      <c r="E154" s="51">
        <f>IF('Hypothèses et paramètres'!G10=1,(E36+E63+E153)*'Hypothèses et paramètres'!G68,(E36+E106+E153)*'Hypothèses et paramètres'!G68)</f>
        <v>216.49524485480606</v>
      </c>
      <c r="F154" s="57">
        <f>E154/$F$3</f>
        <v>0.18663383177138454</v>
      </c>
      <c r="G154" s="35"/>
    </row>
    <row r="155" ht="11.25">
      <c r="E155" s="52"/>
    </row>
    <row r="156" spans="2:6" ht="11.25">
      <c r="B156" s="2" t="s">
        <v>221</v>
      </c>
      <c r="C156" s="30"/>
      <c r="D156" s="30"/>
      <c r="E156" s="49" t="s">
        <v>154</v>
      </c>
      <c r="F156" s="49" t="s">
        <v>155</v>
      </c>
    </row>
    <row r="157" spans="3:6" ht="11.25">
      <c r="C157" s="5" t="s">
        <v>218</v>
      </c>
      <c r="D157" s="5" t="s">
        <v>157</v>
      </c>
      <c r="E157" s="53">
        <f>E150+E154+E153</f>
        <v>18153.816096906517</v>
      </c>
      <c r="F157" s="57">
        <f>E157/$F$3</f>
        <v>15.649841462850446</v>
      </c>
    </row>
    <row r="160" ht="11.25">
      <c r="E160" s="8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5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5" customWidth="1"/>
    <col min="2" max="2" width="4.57421875" style="5" customWidth="1"/>
    <col min="3" max="5" width="11.421875" style="5" customWidth="1"/>
    <col min="6" max="6" width="32.421875" style="5" customWidth="1"/>
    <col min="7" max="7" width="16.7109375" style="5" customWidth="1"/>
    <col min="8" max="8" width="15.7109375" style="5" customWidth="1"/>
    <col min="9" max="16384" width="11.421875" style="5" customWidth="1"/>
  </cols>
  <sheetData>
    <row r="1" ht="3" customHeight="1"/>
    <row r="2" spans="2:8" s="1" customFormat="1" ht="12.75">
      <c r="B2" s="2" t="s">
        <v>222</v>
      </c>
      <c r="C2" s="3"/>
      <c r="D2" s="3"/>
      <c r="E2" s="3"/>
      <c r="F2" s="70"/>
      <c r="G2" s="70"/>
      <c r="H2" s="70"/>
    </row>
    <row r="3" spans="3:11" s="1" customFormat="1" ht="12.75">
      <c r="C3" s="63" t="s">
        <v>81</v>
      </c>
      <c r="D3" s="71"/>
      <c r="E3" s="71"/>
      <c r="F3" s="71"/>
      <c r="G3" s="71"/>
      <c r="H3" s="42">
        <f>IF('Hypothèses et paramètres'!G3=1,'Hypothèses et paramètres'!G71,'Hypothèses et paramètres'!G72)</f>
        <v>39692</v>
      </c>
      <c r="K3" s="34"/>
    </row>
    <row r="4" spans="3:11" s="1" customFormat="1" ht="12.75">
      <c r="C4" s="63" t="s">
        <v>82</v>
      </c>
      <c r="D4" s="71"/>
      <c r="E4" s="71"/>
      <c r="F4" s="71"/>
      <c r="G4" s="71"/>
      <c r="H4" s="72" t="str">
        <f>IF('Hypothèses et paramètres'!G6=2,"Partiel","Total")</f>
        <v>Total</v>
      </c>
      <c r="K4" s="34"/>
    </row>
    <row r="5" spans="3:11" s="1" customFormat="1" ht="3" customHeight="1">
      <c r="C5" s="63"/>
      <c r="D5" s="71"/>
      <c r="E5" s="71"/>
      <c r="F5" s="71"/>
      <c r="G5" s="71"/>
      <c r="H5" s="72"/>
      <c r="K5" s="34"/>
    </row>
    <row r="6" spans="2:8" s="1" customFormat="1" ht="12.75">
      <c r="B6" s="5"/>
      <c r="C6" s="63" t="s">
        <v>223</v>
      </c>
      <c r="D6" s="71"/>
      <c r="E6" s="71"/>
      <c r="F6" s="71"/>
      <c r="G6" s="71"/>
      <c r="H6" s="73">
        <f>'Hypothèses et paramètres'!G9</f>
        <v>10000</v>
      </c>
    </row>
    <row r="7" spans="2:8" s="1" customFormat="1" ht="12.75">
      <c r="B7" s="5"/>
      <c r="C7" s="63" t="s">
        <v>224</v>
      </c>
      <c r="D7" s="71"/>
      <c r="E7" s="71"/>
      <c r="F7" s="71"/>
      <c r="G7" s="71"/>
      <c r="H7" s="72" t="str">
        <f>IF('Hypothèses et paramètres'!G10=1,'Hypothèses et paramètres'!E76,IF('Hypothèses et paramètres'!G10=2,'Hypothèses et paramètres'!E77,IF('Hypothèses et paramètres'!G10=3,'Hypothèses et paramètres'!E78,IF('Hypothèses et paramètres'!G10=4,'Hypothèses et paramètres'!E79))))</f>
        <v>Espace</v>
      </c>
    </row>
    <row r="8" spans="2:8" s="1" customFormat="1" ht="12.75">
      <c r="B8" s="5"/>
      <c r="C8" s="63" t="s">
        <v>86</v>
      </c>
      <c r="D8" s="71"/>
      <c r="E8" s="71"/>
      <c r="F8" s="71"/>
      <c r="G8" s="71"/>
      <c r="H8" s="74">
        <f>'Hypothèses et paramètres'!G11</f>
        <v>4</v>
      </c>
    </row>
    <row r="9" spans="3:8" s="1" customFormat="1" ht="12.75">
      <c r="C9" s="63" t="s">
        <v>87</v>
      </c>
      <c r="D9" s="71"/>
      <c r="E9" s="71"/>
      <c r="F9" s="71"/>
      <c r="G9" s="71"/>
      <c r="H9" s="72">
        <f>'Hypothèses et paramètres'!G12</f>
        <v>1</v>
      </c>
    </row>
    <row r="10" spans="3:8" s="1" customFormat="1" ht="12.75">
      <c r="C10" s="63" t="s">
        <v>88</v>
      </c>
      <c r="D10" s="71"/>
      <c r="E10" s="71"/>
      <c r="F10" s="71"/>
      <c r="G10" s="71"/>
      <c r="H10" s="72" t="str">
        <f>IF('Hypothèses et paramètres'!G13=1,'Hypothèses et paramètres'!C72,IF('Hypothèses et paramètres'!G13=2,'Hypothèses et paramètres'!C73,IF('Hypothèses et paramètres'!G13=3,'Hypothèses et paramètres'!C74,IF('Hypothèses et paramètres'!G13=4,'Hypothèses et paramètres'!C75))))</f>
        <v>Clim opérateur</v>
      </c>
    </row>
    <row r="11" spans="3:8" s="1" customFormat="1" ht="3" customHeight="1">
      <c r="C11" s="63"/>
      <c r="D11" s="71"/>
      <c r="E11" s="71"/>
      <c r="F11" s="71"/>
      <c r="G11" s="71"/>
      <c r="H11" s="72"/>
    </row>
    <row r="12" spans="3:8" s="1" customFormat="1" ht="12.75">
      <c r="C12" s="63" t="s">
        <v>90</v>
      </c>
      <c r="D12" s="71"/>
      <c r="E12" s="71"/>
      <c r="F12" s="71"/>
      <c r="G12" s="71"/>
      <c r="H12" s="75">
        <f>'Hypothèses et paramètres'!G16</f>
        <v>0.58</v>
      </c>
    </row>
    <row r="13" spans="3:8" s="1" customFormat="1" ht="12.75">
      <c r="C13" s="63" t="s">
        <v>225</v>
      </c>
      <c r="D13" s="71"/>
      <c r="E13" s="71"/>
      <c r="F13" s="71"/>
      <c r="G13" s="71"/>
      <c r="H13" s="75">
        <f>'Hypothèses et paramètres'!G17</f>
        <v>0.2</v>
      </c>
    </row>
    <row r="14" spans="3:8" s="1" customFormat="1" ht="3" customHeight="1">
      <c r="C14" s="5"/>
      <c r="G14" s="50"/>
      <c r="H14" s="50"/>
    </row>
    <row r="15" spans="2:8" ht="11.25">
      <c r="B15" s="2" t="s">
        <v>226</v>
      </c>
      <c r="C15" s="30"/>
      <c r="D15" s="30"/>
      <c r="E15" s="30"/>
      <c r="F15" s="30"/>
      <c r="G15" s="2" t="s">
        <v>154</v>
      </c>
      <c r="H15" s="2" t="s">
        <v>155</v>
      </c>
    </row>
    <row r="16" spans="3:9" ht="12.75">
      <c r="C16" s="5" t="s">
        <v>227</v>
      </c>
      <c r="D16" s="1"/>
      <c r="E16" s="1"/>
      <c r="F16" s="1"/>
      <c r="G16" s="41">
        <f>Calculs!E36</f>
        <v>1409.8510552243697</v>
      </c>
      <c r="H16" s="76">
        <f>Calculs!F36</f>
        <v>2.9106785252861878</v>
      </c>
      <c r="I16" s="77"/>
    </row>
    <row r="17" spans="3:9" ht="12.75">
      <c r="C17" s="5" t="s">
        <v>228</v>
      </c>
      <c r="D17" s="1"/>
      <c r="E17" s="1"/>
      <c r="F17" s="1"/>
      <c r="G17" s="41">
        <f>IF('Hypothèses et paramètres'!G10=1,Calculs!E63,Calculs!E106)</f>
        <v>103.80294449714854</v>
      </c>
      <c r="H17" s="76">
        <f>G17/Calculs!F3</f>
        <v>0.08948529698030047</v>
      </c>
      <c r="I17" s="77"/>
    </row>
    <row r="18" spans="2:8" ht="3" customHeight="1">
      <c r="B18" s="25"/>
      <c r="C18" s="32"/>
      <c r="D18" s="32"/>
      <c r="E18" s="32"/>
      <c r="F18" s="32"/>
      <c r="G18" s="25"/>
      <c r="H18" s="25"/>
    </row>
    <row r="19" spans="2:9" ht="11.25">
      <c r="B19" s="2" t="s">
        <v>229</v>
      </c>
      <c r="C19" s="30"/>
      <c r="D19" s="30"/>
      <c r="E19" s="30"/>
      <c r="F19" s="30"/>
      <c r="G19" s="2" t="s">
        <v>154</v>
      </c>
      <c r="H19" s="2" t="s">
        <v>155</v>
      </c>
      <c r="I19" s="77"/>
    </row>
    <row r="20" spans="3:11" ht="12.75">
      <c r="C20" s="78" t="s">
        <v>230</v>
      </c>
      <c r="D20" s="79"/>
      <c r="E20" s="79"/>
      <c r="F20" s="80"/>
      <c r="G20" s="80"/>
      <c r="H20" s="81"/>
      <c r="I20" s="77"/>
      <c r="J20" s="50"/>
      <c r="K20" s="50"/>
    </row>
    <row r="21" spans="3:11" ht="12.75">
      <c r="C21" s="5" t="s">
        <v>231</v>
      </c>
      <c r="D21" s="1"/>
      <c r="E21" s="1"/>
      <c r="G21" s="41">
        <f>IF('Hypothèses et paramètres'!G10=1,Calculs!E41+Calculs!E42,IF('Hypothèses et paramètres'!G10=2,Calculs!E76,IF('Hypothèses et paramètres'!G10=3,Calculs!E85,IF('Hypothèses et paramètres'!G10=4,Calculs!E119))))</f>
        <v>84.26490768863128</v>
      </c>
      <c r="H21" s="76">
        <f>G21/Calculs!$F$3</f>
        <v>0.07264216180054421</v>
      </c>
      <c r="I21" s="77"/>
      <c r="J21" s="82"/>
      <c r="K21" s="82"/>
    </row>
    <row r="22" spans="3:11" ht="12.75">
      <c r="C22" s="5" t="s">
        <v>232</v>
      </c>
      <c r="D22" s="1"/>
      <c r="E22" s="1"/>
      <c r="G22" s="41">
        <f>IF('Hypothèses et paramètres'!G10=1,Calculs!E69+Calculs!E142,IF('Hypothèses et paramètres'!G10=2,Calculs!E112+Calculs!E142,IF('Hypothèses et paramètres'!G10=3,Calculs!E112+Calculs!E142,IF('Hypothèses et paramètres'!G10=4,Calculs!E136+Calculs!E142))))</f>
        <v>156.56111290897664</v>
      </c>
      <c r="H22" s="76">
        <f>G22/Calculs!$F$3</f>
        <v>0.13496647664566952</v>
      </c>
      <c r="I22" s="77"/>
      <c r="J22" s="15"/>
      <c r="K22" s="15"/>
    </row>
    <row r="23" spans="2:8" ht="3" customHeight="1">
      <c r="B23" s="25"/>
      <c r="C23" s="32"/>
      <c r="D23" s="32"/>
      <c r="E23" s="32"/>
      <c r="F23" s="32"/>
      <c r="G23" s="25"/>
      <c r="H23" s="25"/>
    </row>
    <row r="24" spans="3:9" ht="12.75">
      <c r="C24" s="78" t="s">
        <v>233</v>
      </c>
      <c r="D24" s="79"/>
      <c r="E24" s="79"/>
      <c r="F24" s="80"/>
      <c r="G24" s="80"/>
      <c r="H24" s="83"/>
      <c r="I24" s="77"/>
    </row>
    <row r="25" spans="3:10" ht="11.25">
      <c r="C25" s="5" t="s">
        <v>234</v>
      </c>
      <c r="G25" s="41">
        <f>Calculs!E19+Calculs!E20+Calculs!E24</f>
        <v>1946.9853361907947</v>
      </c>
      <c r="H25" s="76">
        <f>G25/Calculs!$F$3</f>
        <v>1.6784356346472369</v>
      </c>
      <c r="I25" s="77"/>
      <c r="J25" s="41"/>
    </row>
    <row r="26" spans="2:8" ht="3" customHeight="1">
      <c r="B26" s="25"/>
      <c r="C26" s="32"/>
      <c r="D26" s="32"/>
      <c r="E26" s="32"/>
      <c r="F26" s="32"/>
      <c r="G26" s="25"/>
      <c r="H26" s="25"/>
    </row>
    <row r="27" spans="2:9" ht="11.25">
      <c r="B27" s="2" t="s">
        <v>235</v>
      </c>
      <c r="C27" s="30"/>
      <c r="D27" s="30"/>
      <c r="E27" s="30"/>
      <c r="F27" s="30"/>
      <c r="G27" s="2" t="s">
        <v>154</v>
      </c>
      <c r="H27" s="2" t="s">
        <v>155</v>
      </c>
      <c r="I27" s="77"/>
    </row>
    <row r="28" spans="3:10" ht="11.25">
      <c r="C28" s="78" t="s">
        <v>230</v>
      </c>
      <c r="D28" s="80"/>
      <c r="E28" s="80"/>
      <c r="F28" s="80"/>
      <c r="G28" s="84"/>
      <c r="H28" s="85"/>
      <c r="I28" s="77"/>
      <c r="J28" s="41"/>
    </row>
    <row r="29" spans="3:10" ht="11.25">
      <c r="C29" s="5" t="s">
        <v>236</v>
      </c>
      <c r="G29" s="41">
        <f>IF('Hypothèses et paramètres'!G10=1,Calculs!E48,IF('Hypothèses et paramètres'!G10=2,Calculs!E82,IF('Hypothèses et paramètres'!G10=3,Calculs!E91,IF('Hypothèses et paramètres'!G10=4,Calculs!E125))))</f>
        <v>189.97</v>
      </c>
      <c r="H29" s="76">
        <f>G29/Calculs!$F$3</f>
        <v>0.16376724137931034</v>
      </c>
      <c r="I29" s="77"/>
      <c r="J29" s="41"/>
    </row>
    <row r="30" spans="3:10" ht="11.25">
      <c r="C30" s="5" t="s">
        <v>237</v>
      </c>
      <c r="G30" s="41">
        <f>IF('Hypothèses et paramètres'!G10=1,Calculs!E60+Calculs!E68+Calculs!E143+Calculs!E147,IF('Hypothèses et paramètres'!G10=2,Calculs!E103+Calculs!E111+Calculs!E143+Calculs!E147,IF('Hypothèses et paramètres'!G10=3,Calculs!E103+Calculs!E111+Calculs!E143+Calculs!E147,IF('Hypothèses et paramètres'!G10=4,Calculs!E130+Calculs!E135+Calculs!E143+Calculs!E147))))</f>
        <v>1113.7285655208334</v>
      </c>
      <c r="H30" s="76">
        <f>G30/Calculs!$F$3</f>
        <v>0.9601108323455461</v>
      </c>
      <c r="I30" s="77"/>
      <c r="J30" s="41"/>
    </row>
    <row r="31" spans="2:8" ht="3" customHeight="1">
      <c r="B31" s="25"/>
      <c r="C31" s="32"/>
      <c r="D31" s="32"/>
      <c r="E31" s="32"/>
      <c r="F31" s="32"/>
      <c r="G31" s="25"/>
      <c r="H31" s="25"/>
    </row>
    <row r="32" spans="3:9" ht="11.25">
      <c r="C32" s="78" t="s">
        <v>233</v>
      </c>
      <c r="D32" s="80"/>
      <c r="E32" s="80"/>
      <c r="F32" s="80"/>
      <c r="G32" s="84"/>
      <c r="H32" s="85"/>
      <c r="I32" s="77"/>
    </row>
    <row r="33" spans="3:10" ht="11.25">
      <c r="C33" s="5" t="str">
        <f>IF('Hypothèses et paramètres'!G6=2,"Accès Partagé (location ligne + filtre)","Accès total (location ligne)")</f>
        <v>Accès total (location ligne)</v>
      </c>
      <c r="G33" s="41">
        <f>IF('Hypothèses et paramètres'!G6=2,Calculs!E21+Calculs!E22,Calculs!E23)</f>
        <v>10776.4</v>
      </c>
      <c r="H33" s="76">
        <f>G33/Calculs!$F$3</f>
        <v>9.29</v>
      </c>
      <c r="I33" s="77"/>
      <c r="J33" s="41"/>
    </row>
    <row r="34" spans="2:8" ht="3" customHeight="1">
      <c r="B34" s="25"/>
      <c r="C34" s="32"/>
      <c r="D34" s="32"/>
      <c r="E34" s="32"/>
      <c r="F34" s="32"/>
      <c r="G34" s="25"/>
      <c r="H34" s="25"/>
    </row>
    <row r="35" spans="2:9" ht="11.25">
      <c r="B35" s="2" t="s">
        <v>129</v>
      </c>
      <c r="C35" s="30"/>
      <c r="D35" s="30"/>
      <c r="E35" s="30"/>
      <c r="F35" s="30"/>
      <c r="G35" s="2" t="s">
        <v>154</v>
      </c>
      <c r="H35" s="86" t="s">
        <v>155</v>
      </c>
      <c r="I35" s="77"/>
    </row>
    <row r="36" spans="2:8" ht="3" customHeight="1" thickBot="1">
      <c r="B36" s="25"/>
      <c r="C36" s="32"/>
      <c r="D36" s="32"/>
      <c r="E36" s="32"/>
      <c r="F36" s="32"/>
      <c r="G36" s="25"/>
      <c r="H36" s="25"/>
    </row>
    <row r="37" spans="2:9" ht="12" thickBot="1">
      <c r="B37" s="87" t="s">
        <v>238</v>
      </c>
      <c r="C37" s="88"/>
      <c r="D37" s="88"/>
      <c r="E37" s="88"/>
      <c r="F37" s="88"/>
      <c r="G37" s="89">
        <f>SUM(G16:G33)</f>
        <v>15781.563922030753</v>
      </c>
      <c r="H37" s="90">
        <f>G37/Calculs!F3</f>
        <v>13.60479648450927</v>
      </c>
      <c r="I37" s="77"/>
    </row>
    <row r="38" spans="2:8" ht="3" customHeight="1">
      <c r="B38" s="25"/>
      <c r="C38" s="32"/>
      <c r="D38" s="32"/>
      <c r="E38" s="32"/>
      <c r="F38" s="32"/>
      <c r="G38" s="25"/>
      <c r="H38" s="25"/>
    </row>
    <row r="39" spans="3:9" ht="11.25">
      <c r="C39" s="5" t="s">
        <v>239</v>
      </c>
      <c r="G39" s="41">
        <f>Calculs!E154++Calculs!E153</f>
        <v>2372.2521748757636</v>
      </c>
      <c r="H39" s="76">
        <f>G39/Calculs!$F$3</f>
        <v>2.0450449783411755</v>
      </c>
      <c r="I39" s="77"/>
    </row>
    <row r="40" spans="2:8" ht="3" customHeight="1" thickBot="1">
      <c r="B40" s="25"/>
      <c r="C40" s="32"/>
      <c r="D40" s="32"/>
      <c r="E40" s="32"/>
      <c r="F40" s="32"/>
      <c r="G40" s="25"/>
      <c r="H40" s="25"/>
    </row>
    <row r="41" spans="2:9" ht="12" thickBot="1">
      <c r="B41" s="87" t="s">
        <v>240</v>
      </c>
      <c r="C41" s="88"/>
      <c r="D41" s="88"/>
      <c r="E41" s="88"/>
      <c r="F41" s="88"/>
      <c r="G41" s="89">
        <f>G39+G37</f>
        <v>18153.816096906517</v>
      </c>
      <c r="H41" s="90">
        <f>H37+H39</f>
        <v>15.649841462850446</v>
      </c>
      <c r="I41" s="77"/>
    </row>
    <row r="42" spans="7:8" ht="11.25">
      <c r="G42" s="15"/>
      <c r="H42" s="91"/>
    </row>
    <row r="43" ht="11.25">
      <c r="H43" s="8"/>
    </row>
    <row r="44" ht="11.25">
      <c r="G44" s="15"/>
    </row>
    <row r="45" ht="11.25">
      <c r="G45" s="1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 PRIMAULT</cp:lastModifiedBy>
  <cp:lastPrinted>2008-10-16T18:25:49Z</cp:lastPrinted>
  <dcterms:created xsi:type="dcterms:W3CDTF">1996-10-21T11:03:58Z</dcterms:created>
  <dcterms:modified xsi:type="dcterms:W3CDTF">2008-10-16T18:26:28Z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