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1" yWindow="75" windowWidth="12120" windowHeight="9120" tabRatio="801" activeTab="0"/>
  </bookViews>
  <sheets>
    <sheet name="lexique" sheetId="1" r:id="rId1"/>
    <sheet name="Profils d'appel" sheetId="2" r:id="rId2"/>
    <sheet name="Tarifs de détail FT" sheetId="3" r:id="rId3"/>
    <sheet name="Recettes" sheetId="4" r:id="rId4"/>
    <sheet name="Tarifs d'interconnexion" sheetId="5" r:id="rId5"/>
    <sheet name="Hypothèses coûts" sheetId="6" r:id="rId6"/>
    <sheet name="Coût collecte" sheetId="7" r:id="rId7"/>
    <sheet name="Coût transport" sheetId="8" r:id="rId8"/>
    <sheet name="Coût terminaison" sheetId="9" r:id="rId9"/>
    <sheet name="Restitution" sheetId="10" r:id="rId10"/>
  </sheets>
  <externalReferences>
    <externalReference r:id="rId13"/>
  </externalReferences>
  <definedNames>
    <definedName name="BPNCAA">'Tarifs d''interconnexion'!$G$17</definedName>
    <definedName name="BPNLRO">'Tarifs d''interconnexion'!$G$18</definedName>
    <definedName name="BPNPRO">'Tarifs d''interconnexion'!$G$18</definedName>
    <definedName name="CACAAHBN">'Tarifs d''interconnexion'!$G$7</definedName>
    <definedName name="CACAAHC">'Tarifs d''interconnexion'!$G$6</definedName>
    <definedName name="CACAAHP">'Tarifs d''interconnexion'!$G$5</definedName>
    <definedName name="CAPROHBN">'Tarifs d''interconnexion'!$G$13</definedName>
    <definedName name="CAPROHC">'Tarifs d''interconnexion'!$G$12</definedName>
    <definedName name="CAPROHP">'Tarifs d''interconnexion'!$G$11</definedName>
    <definedName name="coutBPN">'Coût collecte'!$G$22</definedName>
    <definedName name="COUTBPNT">'Coût terminaison'!$G$22</definedName>
    <definedName name="COUTLBPNT">'Coût terminaison'!#REF!</definedName>
    <definedName name="coutLRO">'Coût collecte'!$G$40</definedName>
    <definedName name="COUTLROT">'Coût terminaison'!$G$22</definedName>
    <definedName name="FASLRO">'Tarifs d''interconnexion'!$G$21</definedName>
    <definedName name="FASLRO12">'Tarifs d''interconnexion'!$G$22</definedName>
    <definedName name="fgsdgsd">'[1]Index'!$G$871:$Z$1002</definedName>
    <definedName name="id">'Restitution'!$E$11</definedName>
    <definedName name="idd">#REF!</definedName>
    <definedName name="iddd">#REF!</definedName>
    <definedName name="index">'Restitution'!#REF!</definedName>
    <definedName name="index1">'Restitution'!$E$6</definedName>
    <definedName name="index2">'Restitution'!$E$10</definedName>
    <definedName name="index3">'[1]Index'!$G$871:$Z$1002</definedName>
    <definedName name="index4">'[1]Index'!$G$871:$Z$1002</definedName>
    <definedName name="jklkhjlhjkl">'[1]Index'!$G$871:$Z$1002</definedName>
    <definedName name="LONGLROCAA">'Hypothèses coûts'!$D$52</definedName>
    <definedName name="LONGLROPRO">'Hypothèses coûts'!$D$53</definedName>
    <definedName name="LROCAAFIX">'Tarifs d''interconnexion'!$G$24</definedName>
    <definedName name="LROCAAKM">'Tarifs d''interconnexion'!$G$25</definedName>
    <definedName name="LROPROFIX">'Tarifs d''interconnexion'!$G$26</definedName>
    <definedName name="LROPROVAR">'Tarifs d''interconnexion'!$G$27</definedName>
    <definedName name="PVCAAHBN">'Tarifs d''interconnexion'!$G$10</definedName>
    <definedName name="PVCAAHC">'Tarifs d''interconnexion'!$G$9</definedName>
    <definedName name="PVCAAHP">'Tarifs d''interconnexion'!$G$8</definedName>
    <definedName name="PVPROHBN">'Tarifs d''interconnexion'!$G$16</definedName>
    <definedName name="PVPROHC">'Tarifs d''interconnexion'!$G$15</definedName>
    <definedName name="PVPROHP">'Tarifs d''interconnexion'!$G$14</definedName>
    <definedName name="REDLRO12">'Tarifs d''interconnexion'!$G$23</definedName>
    <definedName name="REPCAA">'Hypothèses coûts'!$D$49</definedName>
    <definedName name="REPCAAD">'Hypothèses coûts'!#REF!</definedName>
    <definedName name="REPPRO">'Hypothèses coûts'!$D$50</definedName>
    <definedName name="REPPROD">'Hypothèses coûts'!#REF!</definedName>
    <definedName name="Taux_CCommun">'Hypothèses coûts'!$D$31</definedName>
    <definedName name="Taux_SU">'Hypothèses coûts'!$D$34</definedName>
    <definedName name="_xlnm.Print_Area" localSheetId="9">'Restitution'!$B$1:$P$48</definedName>
  </definedNames>
  <calcPr fullCalcOnLoad="1"/>
</workbook>
</file>

<file path=xl/sharedStrings.xml><?xml version="1.0" encoding="utf-8"?>
<sst xmlns="http://schemas.openxmlformats.org/spreadsheetml/2006/main" count="876" uniqueCount="298">
  <si>
    <t>Profils de communications</t>
  </si>
  <si>
    <t>Distinction selon les plages horaires du tarif de détail</t>
  </si>
  <si>
    <t>Répartition</t>
  </si>
  <si>
    <t>Durée moy.</t>
  </si>
  <si>
    <t xml:space="preserve">Durée </t>
  </si>
  <si>
    <t>Appels inférieurs au CT</t>
  </si>
  <si>
    <t>en volume</t>
  </si>
  <si>
    <t>en sec.</t>
  </si>
  <si>
    <t>crédit-temps</t>
  </si>
  <si>
    <t xml:space="preserve">% </t>
  </si>
  <si>
    <t>d'appels</t>
  </si>
  <si>
    <t>Résidentiels</t>
  </si>
  <si>
    <t xml:space="preserve">Prix Normal </t>
  </si>
  <si>
    <t>CT (sec.)</t>
  </si>
  <si>
    <t>Prix Réduit</t>
  </si>
  <si>
    <t>Total ou Moyenne</t>
  </si>
  <si>
    <t>Prix Jour</t>
  </si>
  <si>
    <t>Prix Nuit</t>
  </si>
  <si>
    <t>Communications Locales</t>
  </si>
  <si>
    <t>Communications vers les Mobiles</t>
  </si>
  <si>
    <t>icxN</t>
  </si>
  <si>
    <t>detN</t>
  </si>
  <si>
    <t>icxR</t>
  </si>
  <si>
    <t>icxBN</t>
  </si>
  <si>
    <t>detR</t>
  </si>
  <si>
    <t>Prix d'établissement d'appel (c€ HT)</t>
  </si>
  <si>
    <t>Crédit temps</t>
  </si>
  <si>
    <t>durée  (s)</t>
  </si>
  <si>
    <t>TN</t>
  </si>
  <si>
    <t>TR</t>
  </si>
  <si>
    <t>Local</t>
  </si>
  <si>
    <t>Interurbain</t>
  </si>
  <si>
    <t>Bouygues Télécom</t>
  </si>
  <si>
    <t>% minutes</t>
  </si>
  <si>
    <t>tarif/minute</t>
  </si>
  <si>
    <t>en min.</t>
  </si>
  <si>
    <t xml:space="preserve">  durée moyenne (dm)</t>
  </si>
  <si>
    <t xml:space="preserve"> dm &lt; CT (crédit temps)</t>
  </si>
  <si>
    <t>% appels &lt; CT</t>
  </si>
  <si>
    <t>Valeur CT</t>
  </si>
  <si>
    <t xml:space="preserve">            durée CT</t>
  </si>
  <si>
    <t>TJ</t>
  </si>
  <si>
    <t xml:space="preserve">Recette </t>
  </si>
  <si>
    <t>Charge d'établissement d'appel</t>
  </si>
  <si>
    <t>CAA</t>
  </si>
  <si>
    <t>HP</t>
  </si>
  <si>
    <t>€ HT/appel</t>
  </si>
  <si>
    <t>HC</t>
  </si>
  <si>
    <t>HBN</t>
  </si>
  <si>
    <t>Partie variable</t>
  </si>
  <si>
    <t>€ HT/min.</t>
  </si>
  <si>
    <t>PRO</t>
  </si>
  <si>
    <t>Coûts BPN</t>
  </si>
  <si>
    <t>€ HT/an</t>
  </si>
  <si>
    <t>LRO</t>
  </si>
  <si>
    <t>FAS</t>
  </si>
  <si>
    <t>€ HT</t>
  </si>
  <si>
    <t>LRO à partir 12 liens</t>
  </si>
  <si>
    <t>Réduction annuelle par lien</t>
  </si>
  <si>
    <t>Abonnement</t>
  </si>
  <si>
    <t>fixe</t>
  </si>
  <si>
    <t>par km</t>
  </si>
  <si>
    <t>€ HT/mois</t>
  </si>
  <si>
    <t>Terminaison</t>
  </si>
  <si>
    <t>Orange France</t>
  </si>
  <si>
    <t>SFR</t>
  </si>
  <si>
    <t>(€HT/an)</t>
  </si>
  <si>
    <t>€HT</t>
  </si>
  <si>
    <t>€HT/an</t>
  </si>
  <si>
    <t>Redevance annuelle par cellule</t>
  </si>
  <si>
    <t xml:space="preserve">Colocalisation </t>
  </si>
  <si>
    <t>€HT/trimestre</t>
  </si>
  <si>
    <t>Lexique</t>
  </si>
  <si>
    <t>Tarif Normal</t>
  </si>
  <si>
    <t>Tarif Réduit</t>
  </si>
  <si>
    <t>TBN</t>
  </si>
  <si>
    <t>Tarif Bleu nuit</t>
  </si>
  <si>
    <t>LD</t>
  </si>
  <si>
    <t>Longue Distance</t>
  </si>
  <si>
    <t>Commutateur à Autonomie d’Acheminement ou commutateur d’abonnés</t>
  </si>
  <si>
    <t>Point de Raccordement Opérateur</t>
  </si>
  <si>
    <t>Liaison de Raccordement Opérateur</t>
  </si>
  <si>
    <t>Frais d'accès au service</t>
  </si>
  <si>
    <t>BPN</t>
  </si>
  <si>
    <t>Bloc Primaire Numérique</t>
  </si>
  <si>
    <t>LL</t>
  </si>
  <si>
    <t>Liaison Louée</t>
  </si>
  <si>
    <t>Les données en noir sont des informations entrées dans le modèle</t>
  </si>
  <si>
    <t>Les données en bleu sont le résultat d'un traitement par le modèle</t>
  </si>
  <si>
    <t>Hypothèses relatives au calcul des coûts de transport</t>
  </si>
  <si>
    <t>Coût</t>
  </si>
  <si>
    <t>Occupation des BPN</t>
  </si>
  <si>
    <t>Mmin/an</t>
  </si>
  <si>
    <t>Equivalent 2Mbit/155 Mbit</t>
  </si>
  <si>
    <t>Longueur moyenne</t>
  </si>
  <si>
    <t>km</t>
  </si>
  <si>
    <t>Durée d'amortissement des FAS</t>
  </si>
  <si>
    <t>ans</t>
  </si>
  <si>
    <t>Coûts commerciaux</t>
  </si>
  <si>
    <t>% des coûts propres de l'opérateur (hors coûts d'interconnexion)</t>
  </si>
  <si>
    <t>Taux de connexion au CAA (% trafic)</t>
  </si>
  <si>
    <t>Taux de connexion au PRO (% trafic)</t>
  </si>
  <si>
    <t>Longueur des LRO CAA</t>
  </si>
  <si>
    <t>Longueur des LRO PRO</t>
  </si>
  <si>
    <t>% bénéficiant de la réduc. au-delà du 12 éme lien LRO</t>
  </si>
  <si>
    <t>Charge d'établissement d'appel par minute</t>
  </si>
  <si>
    <t>c€HT/min</t>
  </si>
  <si>
    <t>pondéré</t>
  </si>
  <si>
    <t>plage détail TNormal -&gt; plage icx TNormal</t>
  </si>
  <si>
    <t>plage détail TRéduit -&gt; plage icx TRéduit</t>
  </si>
  <si>
    <t>plage détail TRéduit -&gt; plage icx TBleuNuit</t>
  </si>
  <si>
    <t>plage détail TJour -&gt; plage icx TNormal</t>
  </si>
  <si>
    <t>plage détail TJour -&gt; plage icx TRéduit</t>
  </si>
  <si>
    <t>plage détail TNuit-&gt; plage icx TBleuNuit</t>
  </si>
  <si>
    <t>R</t>
  </si>
  <si>
    <t>P + E ps</t>
  </si>
  <si>
    <t>Vers Mobiles</t>
  </si>
  <si>
    <t>P + E</t>
  </si>
  <si>
    <t>c€ HT/min</t>
  </si>
  <si>
    <t>Coût BPN</t>
  </si>
  <si>
    <t>Coût LRO/an</t>
  </si>
  <si>
    <t>FAS + Abo.</t>
  </si>
  <si>
    <t>Transport</t>
  </si>
  <si>
    <r>
      <t xml:space="preserve">Terminaison  Mobile - </t>
    </r>
    <r>
      <rPr>
        <i/>
        <sz val="8"/>
        <color indexed="9"/>
        <rFont val="Arial"/>
        <family val="2"/>
      </rPr>
      <t>Résidentiels, Professionnels, Entreprises Petits sites et Grands sites</t>
    </r>
  </si>
  <si>
    <t>Transmission Locale</t>
  </si>
  <si>
    <t>c€/min</t>
  </si>
  <si>
    <t>Commutation</t>
  </si>
  <si>
    <t>Communication Locales</t>
  </si>
  <si>
    <t>Communications Interurbaines</t>
  </si>
  <si>
    <t>Communications fixe vers Mobiles</t>
  </si>
  <si>
    <t>Coût unitaire</t>
  </si>
  <si>
    <t>Coûts</t>
  </si>
  <si>
    <t>Nombre de commutations</t>
  </si>
  <si>
    <t>Transport en local :</t>
  </si>
  <si>
    <t>Transport en LD :</t>
  </si>
  <si>
    <t>Hypothèses de transport fixe vers mobile:</t>
  </si>
  <si>
    <t>Pondération</t>
  </si>
  <si>
    <t>Répartition entre Local et Interurbain</t>
  </si>
  <si>
    <t>Transmission</t>
  </si>
  <si>
    <t>Facteur de transmission</t>
  </si>
  <si>
    <t>Equivalent 2 Mbit/s</t>
  </si>
  <si>
    <t>Coût/BPN</t>
  </si>
  <si>
    <t>Remplissage BPN/an</t>
  </si>
  <si>
    <t>Coût LL/minute</t>
  </si>
  <si>
    <t>Coût transmission Longue Distance</t>
  </si>
  <si>
    <t>€ HT/min</t>
  </si>
  <si>
    <t>minutes/an</t>
  </si>
  <si>
    <t>vers Orange</t>
  </si>
  <si>
    <t>vers SFR</t>
  </si>
  <si>
    <t>vers Bouygues Télécom</t>
  </si>
  <si>
    <t>Orange</t>
  </si>
  <si>
    <t>Prix par BPN</t>
  </si>
  <si>
    <t>c€HT /min</t>
  </si>
  <si>
    <t>Colocalisation</t>
  </si>
  <si>
    <t>Coûts communs</t>
  </si>
  <si>
    <t>Service Universel</t>
  </si>
  <si>
    <t>Coût LRO/min</t>
  </si>
  <si>
    <t>Charge à l'appel</t>
  </si>
  <si>
    <t>Partie à la minute</t>
  </si>
  <si>
    <t>Collecte</t>
  </si>
  <si>
    <t>Total coûts</t>
  </si>
  <si>
    <t>Marge</t>
  </si>
  <si>
    <t>Taux de marge</t>
  </si>
  <si>
    <t>Professionnels
Entreprises petits sites</t>
  </si>
  <si>
    <t>Entreprises
Grands sites</t>
  </si>
  <si>
    <t>Pro et petits sites</t>
  </si>
  <si>
    <t>Entreprises grands sites</t>
  </si>
  <si>
    <t>HP + HC</t>
  </si>
  <si>
    <t>Profils d'appels</t>
  </si>
  <si>
    <t>Tarif de détail FT</t>
  </si>
  <si>
    <t>Recettes</t>
  </si>
  <si>
    <t>Tarifs d'interconnexion</t>
  </si>
  <si>
    <t>Hypothèses coûts</t>
  </si>
  <si>
    <t>Restitution</t>
  </si>
  <si>
    <t>POP</t>
  </si>
  <si>
    <t>Point de présence opérateur</t>
  </si>
  <si>
    <t>Tarif par minute c€ HT</t>
  </si>
  <si>
    <t>Tarifs offres de référence opérateurs mobiles</t>
  </si>
  <si>
    <t>Durée d'amortissement des FAS LRO</t>
  </si>
  <si>
    <t>Durée d'amortissement des FAS colocalisation</t>
  </si>
  <si>
    <t>Orange et SFR</t>
  </si>
  <si>
    <t>Moyenne (c€/min)</t>
  </si>
  <si>
    <t>Colocalisation dans les locaux de Bouygues Telecom</t>
  </si>
  <si>
    <t>Tarifs de détail de France Télécom (tarifs de base)</t>
  </si>
  <si>
    <r>
      <t xml:space="preserve">Calcul des coûts de collecte - </t>
    </r>
    <r>
      <rPr>
        <i/>
        <sz val="8"/>
        <color indexed="9"/>
        <rFont val="Arial"/>
        <family val="2"/>
      </rPr>
      <t>Résidentiels, Professionnels, Entreprises Petits sites</t>
    </r>
  </si>
  <si>
    <t>Durée d'amortissement</t>
  </si>
  <si>
    <t>Prix d'accès</t>
  </si>
  <si>
    <t>Prix de base</t>
  </si>
  <si>
    <t>Accès Primaire Numéris</t>
  </si>
  <si>
    <t>Nombre de canaux B</t>
  </si>
  <si>
    <t>Prix mens d'abo/canal B</t>
  </si>
  <si>
    <t>Abonnement annuel</t>
  </si>
  <si>
    <t>Abo+FAS annuel</t>
  </si>
  <si>
    <t>coeff longueur</t>
  </si>
  <si>
    <t>Ramené à la minute</t>
  </si>
  <si>
    <t>Hypothèses spécifiques sur les coûts  de raccordement direct Entreprises - Grands sites</t>
  </si>
  <si>
    <t>Coût par minute</t>
  </si>
  <si>
    <t>Coûts commerciaux Numéris</t>
  </si>
  <si>
    <t>Coût net unitaire</t>
  </si>
  <si>
    <t>Prix annuel/site</t>
  </si>
  <si>
    <t>Coût site</t>
  </si>
  <si>
    <t>Nombre de BPN par point de raccordement</t>
  </si>
  <si>
    <t>Coût propre de fourniture d'un accès primaire</t>
  </si>
  <si>
    <t>BPN à la minute</t>
  </si>
  <si>
    <t>Option GTR 4h  abonnement mensuel</t>
  </si>
  <si>
    <t>Somme des coûts</t>
  </si>
  <si>
    <t>Somme des coûts - équivalents revenus</t>
  </si>
  <si>
    <t>Remplissagede liaison louée 2048kbit/s</t>
  </si>
  <si>
    <t>Coûts commerciaux supportés pour la foruniture de l'accès primaire</t>
  </si>
  <si>
    <t>Coût propre de l'opérateur pour fournir un accès primaire</t>
  </si>
  <si>
    <t>Hypothèses relatives à la répartition des appels vers les réseaux fixes entre France Télécom et les autres opérateurs</t>
  </si>
  <si>
    <t>% d'appel vers les numéros géographiques de France Télécom</t>
  </si>
  <si>
    <t>Terminaison d'appel opérateur alternatif</t>
  </si>
  <si>
    <t>% d'appels portés</t>
  </si>
  <si>
    <r>
      <t xml:space="preserve">Terminaison  Fixe - </t>
    </r>
    <r>
      <rPr>
        <i/>
        <sz val="8"/>
        <color indexed="9"/>
        <rFont val="Arial"/>
        <family val="2"/>
      </rPr>
      <t>Résidentiels, Professionnels, Entreprises Petits sites et Grands sites</t>
    </r>
  </si>
  <si>
    <t>Charge d'établissement d'appel par minute FT</t>
  </si>
  <si>
    <t>Charge d'établissement d'appel par minute tout opérateur</t>
  </si>
  <si>
    <t>Partie variable FT</t>
  </si>
  <si>
    <t>Partie variable tout opérateur</t>
  </si>
  <si>
    <t>Surcharge TA alternatifs</t>
  </si>
  <si>
    <t>Professionnels et entreprises</t>
  </si>
  <si>
    <t>Tarifs offre de référence "communications" France Télécom</t>
  </si>
  <si>
    <t>LPT locale</t>
  </si>
  <si>
    <t>LPT 2 Mbit/s &lt;10 km</t>
  </si>
  <si>
    <t>€ HT / mois</t>
  </si>
  <si>
    <t>GTR option 2</t>
  </si>
  <si>
    <t>Téléphonie</t>
  </si>
  <si>
    <t>Coût annuel LPT avec GTR</t>
  </si>
  <si>
    <t>Remplissage LPT</t>
  </si>
  <si>
    <t>mensuel</t>
  </si>
  <si>
    <t>GTR</t>
  </si>
  <si>
    <t>Valeur retenue pour la colocalisation</t>
  </si>
  <si>
    <t>Proportion de colocalisation</t>
  </si>
  <si>
    <t>cf. collecte</t>
  </si>
  <si>
    <t>€/BPN/an</t>
  </si>
  <si>
    <t>Coût par BPN et par an</t>
  </si>
  <si>
    <t>LI</t>
  </si>
  <si>
    <t>Prix / LRO</t>
  </si>
  <si>
    <t>Coût LI/min</t>
  </si>
  <si>
    <t>Proportion de LRO</t>
  </si>
  <si>
    <t>Proportion de LI</t>
  </si>
  <si>
    <t>Coût LRO/LI/Colocalisation</t>
  </si>
  <si>
    <t>CT</t>
  </si>
  <si>
    <t>Prix LI par rapport à prix LRO</t>
  </si>
  <si>
    <t>Recette de base</t>
  </si>
  <si>
    <t>LR/colocalisation</t>
  </si>
  <si>
    <t>Coût transmission Longue Distance + Locale</t>
  </si>
  <si>
    <t>Grand compte</t>
  </si>
  <si>
    <t>Liste des onglets</t>
  </si>
  <si>
    <t>Colocalisation dans les locaux de Orange</t>
  </si>
  <si>
    <t>Colocalisation dans les locaux de SFR</t>
  </si>
  <si>
    <t>(c€/min HT)</t>
  </si>
  <si>
    <t xml:space="preserve">Terminaison </t>
  </si>
  <si>
    <t>Ratio</t>
  </si>
  <si>
    <t>Lliaison  LPT 2048 kbit/s</t>
  </si>
  <si>
    <t>Liaison LPT 2048 kbit/s</t>
  </si>
  <si>
    <t>(le montant de l'accès est rémunéré directement par le client final)</t>
  </si>
  <si>
    <t xml:space="preserve">Equivalent revenus </t>
  </si>
  <si>
    <t>Coûts et équivalent revenu</t>
  </si>
  <si>
    <t>Coûts nets</t>
  </si>
  <si>
    <t>Bouygues T.</t>
  </si>
  <si>
    <t>Remplissage accès primaire</t>
  </si>
  <si>
    <t>c€/appel</t>
  </si>
  <si>
    <t>Taux "grand compte"</t>
  </si>
  <si>
    <t>Communications vers les mobiles (Orange et SFR)</t>
  </si>
  <si>
    <t>Communications vers les mobiles (Bouygues Télécom)</t>
  </si>
  <si>
    <t>Vers mobile</t>
  </si>
  <si>
    <t>Backbone 155 Mbit/s FAS</t>
  </si>
  <si>
    <t>Backbone 155 Mbit/s GTR</t>
  </si>
  <si>
    <t>Bouygues Telecom</t>
  </si>
  <si>
    <t>Unité : c€/min</t>
  </si>
  <si>
    <t>Communications vers les mobiles</t>
  </si>
  <si>
    <t>Coûts BPN - Colocalisation</t>
  </si>
  <si>
    <t>Liaison Raccordement</t>
  </si>
  <si>
    <t>Coûts de versement au fonds de service universel</t>
  </si>
  <si>
    <t>Coûts commerciaux - Coûts communs - Coûts service universel</t>
  </si>
  <si>
    <t>Interconnexion France Télécom</t>
  </si>
  <si>
    <t>Raccordement opérateur mobile</t>
  </si>
  <si>
    <r>
      <t xml:space="preserve">Coût de portage </t>
    </r>
    <r>
      <rPr>
        <sz val="6"/>
        <rFont val="Arial"/>
        <family val="2"/>
      </rPr>
      <t>(Acheminement du CA FT vers CT FT d'interface avec opérateur preneur)</t>
    </r>
  </si>
  <si>
    <r>
      <t xml:space="preserve">Calcul des coûts de collecte - </t>
    </r>
    <r>
      <rPr>
        <i/>
        <sz val="8"/>
        <color indexed="9"/>
        <rFont val="Arial"/>
        <family val="2"/>
      </rPr>
      <t>Entreprises Grands sites</t>
    </r>
  </si>
  <si>
    <t>Backbone 155 Mbit/s abo mensuel</t>
  </si>
  <si>
    <r>
      <t xml:space="preserve">Transport interurbain à 155 Mbit/s </t>
    </r>
    <r>
      <rPr>
        <sz val="8"/>
        <rFont val="Arial"/>
        <family val="2"/>
      </rPr>
      <t>(achat d'un backbone)</t>
    </r>
  </si>
  <si>
    <t>Backbone 155 Mbit/sGTR</t>
  </si>
  <si>
    <t>Backbone 155 Mbit/s annuel</t>
  </si>
  <si>
    <t>BPN - LRO / LI / colocalisation</t>
  </si>
  <si>
    <t>(c€ /min HT)</t>
  </si>
  <si>
    <t>Remplissage des BPN</t>
  </si>
  <si>
    <t>Nombre de BPN par site</t>
  </si>
  <si>
    <t>Amortissement</t>
  </si>
  <si>
    <t>Location</t>
  </si>
  <si>
    <t>(c€)</t>
  </si>
  <si>
    <t>Accès primaire Numéris</t>
  </si>
  <si>
    <t>Coût de la LPT</t>
  </si>
  <si>
    <t>Vers SFR</t>
  </si>
  <si>
    <t>Vers Bouygues Telecom</t>
  </si>
  <si>
    <t>Vers Orange</t>
  </si>
  <si>
    <t>BPN de l'opérateur destinataire</t>
  </si>
  <si>
    <t>Hypothèses relatives à la collecte et terminaison par interconnexion</t>
  </si>
</sst>
</file>

<file path=xl/styles.xml><?xml version="1.0" encoding="utf-8"?>
<styleSheet xmlns="http://schemas.openxmlformats.org/spreadsheetml/2006/main">
  <numFmts count="4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  <numFmt numFmtId="165" formatCode="0.0"/>
    <numFmt numFmtId="166" formatCode="#,##0.0"/>
    <numFmt numFmtId="167" formatCode="#,##0.000"/>
    <numFmt numFmtId="168" formatCode="0.000"/>
    <numFmt numFmtId="169" formatCode="#,##0.00000"/>
    <numFmt numFmtId="170" formatCode="0.00000"/>
    <numFmt numFmtId="171" formatCode="0.0000000"/>
    <numFmt numFmtId="172" formatCode="0.000000"/>
    <numFmt numFmtId="173" formatCode="0.0000"/>
    <numFmt numFmtId="174" formatCode="_-* #,##0.0\ _F_-;\-* #,##0.0\ _F_-;_-* &quot;-&quot;??\ _F_-;_-@_-"/>
    <numFmt numFmtId="175" formatCode="_-* #,##0\ _F_-;\-* #,##0\ _F_-;_-* &quot;-&quot;??\ _F_-;_-@_-"/>
    <numFmt numFmtId="176" formatCode="0.00000000"/>
    <numFmt numFmtId="177" formatCode="&quot;Vrai&quot;;&quot;Vrai&quot;;&quot;Faux&quot;"/>
    <numFmt numFmtId="178" formatCode="&quot;Actif&quot;;&quot;Actif&quot;;&quot;Inactif&quot;"/>
    <numFmt numFmtId="179" formatCode="0.000%"/>
    <numFmt numFmtId="180" formatCode="0.0%;\ 0.0%;\ &quot;-&quot;"/>
    <numFmt numFmtId="181" formatCode="0.0%;\ 0.0%;\ &quot;-   &quot;"/>
    <numFmt numFmtId="182" formatCode="0.0%;\ 0.0%;\ &quot;-        &quot;"/>
    <numFmt numFmtId="183" formatCode="0.0%;\ 0.0%;\ &quot;-         &quot;"/>
    <numFmt numFmtId="184" formatCode="0.0%;\ 0.0%;\ &quot;    -&quot;"/>
    <numFmt numFmtId="185" formatCode="0.0%;\ 0.0%;\ &quot;             -&quot;"/>
    <numFmt numFmtId="186" formatCode="0.0%;\ 0.0%;\ &quot;                   -&quot;"/>
    <numFmt numFmtId="187" formatCode="0.0%;\ 0.0%;\ &quot;                    -&quot;"/>
    <numFmt numFmtId="188" formatCode="0.0%;\ 0.0%;\ &quot;                     -&quot;"/>
    <numFmt numFmtId="189" formatCode="0.00;\ 0.00;\ &quot;&quot;"/>
    <numFmt numFmtId="190" formatCode="0.0;\ 0.0;\ &quot;&quot;"/>
    <numFmt numFmtId="191" formatCode="0.00,;\ 0.00,;\ &quot;&quot;"/>
    <numFmt numFmtId="192" formatCode="0.0%;\ 0.0%;\ &quot;&quot;"/>
    <numFmt numFmtId="193" formatCode="0%;\ 0%;\ &quot;&quot;"/>
    <numFmt numFmtId="194" formatCode="0.0000E+00"/>
    <numFmt numFmtId="195" formatCode="0.0000%"/>
    <numFmt numFmtId="196" formatCode="0.00000%"/>
    <numFmt numFmtId="197" formatCode="0.000000%"/>
    <numFmt numFmtId="198" formatCode="0.0000000%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b/>
      <sz val="18"/>
      <color indexed="18"/>
      <name val="Times New Roman"/>
      <family val="1"/>
    </font>
    <font>
      <b/>
      <sz val="8"/>
      <color indexed="12"/>
      <name val="Arial"/>
      <family val="2"/>
    </font>
    <font>
      <sz val="6"/>
      <name val="Arial"/>
      <family val="2"/>
    </font>
    <font>
      <i/>
      <sz val="8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u val="single"/>
      <sz val="8"/>
      <name val="Arial"/>
      <family val="2"/>
    </font>
    <font>
      <b/>
      <sz val="16"/>
      <name val="Times New Roman"/>
      <family val="1"/>
    </font>
    <font>
      <sz val="10"/>
      <name val="Verdana"/>
      <family val="2"/>
    </font>
    <font>
      <b/>
      <u val="single"/>
      <sz val="8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9"/>
      <name val="Verdana"/>
      <family val="2"/>
    </font>
    <font>
      <sz val="8"/>
      <color indexed="16"/>
      <name val="Arial"/>
      <family val="2"/>
    </font>
    <font>
      <b/>
      <sz val="16"/>
      <color indexed="1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lightUp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17" fontId="3" fillId="3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0" fontId="6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10" fontId="6" fillId="2" borderId="0" xfId="0" applyNumberFormat="1" applyFont="1" applyFill="1" applyBorder="1" applyAlignment="1">
      <alignment/>
    </xf>
    <xf numFmtId="10" fontId="0" fillId="2" borderId="0" xfId="0" applyNumberFormat="1" applyFill="1" applyBorder="1" applyAlignment="1">
      <alignment/>
    </xf>
    <xf numFmtId="9" fontId="1" fillId="2" borderId="14" xfId="0" applyNumberFormat="1" applyFont="1" applyFill="1" applyBorder="1" applyAlignment="1">
      <alignment/>
    </xf>
    <xf numFmtId="3" fontId="1" fillId="2" borderId="1" xfId="21" applyNumberFormat="1" applyFont="1" applyFill="1" applyBorder="1" applyAlignment="1">
      <alignment/>
    </xf>
    <xf numFmtId="9" fontId="1" fillId="2" borderId="15" xfId="2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9" fontId="1" fillId="2" borderId="9" xfId="2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9" fontId="6" fillId="2" borderId="1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0" fontId="1" fillId="2" borderId="0" xfId="21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1" fillId="2" borderId="4" xfId="0" applyFont="1" applyFill="1" applyBorder="1" applyAlignment="1">
      <alignment horizontal="left"/>
    </xf>
    <xf numFmtId="9" fontId="1" fillId="2" borderId="1" xfId="21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2" fontId="6" fillId="2" borderId="18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2" fontId="6" fillId="2" borderId="3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/>
    </xf>
    <xf numFmtId="2" fontId="6" fillId="2" borderId="9" xfId="0" applyNumberFormat="1" applyFont="1" applyFill="1" applyBorder="1" applyAlignment="1">
      <alignment/>
    </xf>
    <xf numFmtId="2" fontId="6" fillId="2" borderId="19" xfId="0" applyNumberFormat="1" applyFont="1" applyFill="1" applyBorder="1" applyAlignment="1">
      <alignment/>
    </xf>
    <xf numFmtId="2" fontId="6" fillId="2" borderId="2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9" fontId="1" fillId="2" borderId="0" xfId="2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0" xfId="0" applyFont="1" applyFill="1" applyBorder="1" applyAlignment="1">
      <alignment horizontal="centerContinuous"/>
    </xf>
    <xf numFmtId="3" fontId="6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69" fontId="1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73" fontId="6" fillId="2" borderId="0" xfId="0" applyNumberFormat="1" applyFont="1" applyFill="1" applyBorder="1" applyAlignment="1">
      <alignment/>
    </xf>
    <xf numFmtId="173" fontId="12" fillId="2" borderId="0" xfId="0" applyNumberFormat="1" applyFont="1" applyFill="1" applyBorder="1" applyAlignment="1">
      <alignment/>
    </xf>
    <xf numFmtId="168" fontId="12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64" fontId="6" fillId="2" borderId="0" xfId="21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9" fontId="6" fillId="2" borderId="0" xfId="21" applyFont="1" applyFill="1" applyAlignment="1">
      <alignment/>
    </xf>
    <xf numFmtId="1" fontId="6" fillId="2" borderId="0" xfId="0" applyNumberFormat="1" applyFont="1" applyFill="1" applyAlignment="1">
      <alignment/>
    </xf>
    <xf numFmtId="168" fontId="12" fillId="2" borderId="0" xfId="0" applyNumberFormat="1" applyFont="1" applyFill="1" applyAlignment="1">
      <alignment/>
    </xf>
    <xf numFmtId="4" fontId="1" fillId="2" borderId="0" xfId="21" applyNumberFormat="1" applyFont="1" applyFill="1" applyBorder="1" applyAlignment="1">
      <alignment/>
    </xf>
    <xf numFmtId="0" fontId="1" fillId="2" borderId="2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" fontId="6" fillId="2" borderId="12" xfId="0" applyNumberFormat="1" applyFont="1" applyFill="1" applyBorder="1" applyAlignment="1">
      <alignment/>
    </xf>
    <xf numFmtId="170" fontId="6" fillId="2" borderId="5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1" fontId="6" fillId="2" borderId="16" xfId="0" applyNumberFormat="1" applyFont="1" applyFill="1" applyBorder="1" applyAlignment="1">
      <alignment/>
    </xf>
    <xf numFmtId="170" fontId="6" fillId="2" borderId="4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7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5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9" fontId="1" fillId="2" borderId="15" xfId="21" applyNumberFormat="1" applyFont="1" applyFill="1" applyBorder="1" applyAlignment="1">
      <alignment/>
    </xf>
    <xf numFmtId="9" fontId="1" fillId="2" borderId="9" xfId="21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1" fontId="1" fillId="2" borderId="16" xfId="0" applyNumberFormat="1" applyFont="1" applyFill="1" applyBorder="1" applyAlignment="1">
      <alignment/>
    </xf>
    <xf numFmtId="1" fontId="0" fillId="2" borderId="0" xfId="0" applyNumberFormat="1" applyFill="1" applyAlignment="1">
      <alignment/>
    </xf>
    <xf numFmtId="1" fontId="6" fillId="4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2" fontId="7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0" borderId="4" xfId="0" applyBorder="1" applyAlignment="1">
      <alignment wrapText="1"/>
    </xf>
    <xf numFmtId="2" fontId="5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9" fontId="1" fillId="2" borderId="0" xfId="21" applyFont="1" applyFill="1" applyAlignment="1">
      <alignment/>
    </xf>
    <xf numFmtId="2" fontId="19" fillId="2" borderId="0" xfId="0" applyNumberFormat="1" applyFont="1" applyFill="1" applyAlignment="1">
      <alignment/>
    </xf>
    <xf numFmtId="173" fontId="6" fillId="2" borderId="22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0" xfId="21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9" fontId="6" fillId="2" borderId="0" xfId="0" applyNumberFormat="1" applyFont="1" applyFill="1" applyBorder="1" applyAlignment="1">
      <alignment/>
    </xf>
    <xf numFmtId="173" fontId="6" fillId="2" borderId="0" xfId="0" applyNumberFormat="1" applyFont="1" applyFill="1" applyAlignment="1">
      <alignment/>
    </xf>
    <xf numFmtId="9" fontId="6" fillId="2" borderId="5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9" fontId="2" fillId="2" borderId="0" xfId="0" applyNumberFormat="1" applyFont="1" applyFill="1" applyBorder="1" applyAlignment="1">
      <alignment horizontal="center"/>
    </xf>
    <xf numFmtId="9" fontId="6" fillId="4" borderId="0" xfId="0" applyNumberFormat="1" applyFont="1" applyFill="1" applyBorder="1" applyAlignment="1">
      <alignment/>
    </xf>
    <xf numFmtId="9" fontId="5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6" fillId="2" borderId="10" xfId="21" applyNumberFormat="1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9" fontId="1" fillId="2" borderId="5" xfId="21" applyNumberFormat="1" applyFont="1" applyFill="1" applyBorder="1" applyAlignment="1">
      <alignment/>
    </xf>
    <xf numFmtId="9" fontId="6" fillId="2" borderId="14" xfId="0" applyNumberFormat="1" applyFont="1" applyFill="1" applyBorder="1" applyAlignment="1">
      <alignment/>
    </xf>
    <xf numFmtId="9" fontId="6" fillId="2" borderId="4" xfId="21" applyNumberFormat="1" applyFont="1" applyFill="1" applyBorder="1" applyAlignment="1">
      <alignment/>
    </xf>
    <xf numFmtId="168" fontId="6" fillId="2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2" fontId="12" fillId="2" borderId="0" xfId="0" applyNumberFormat="1" applyFont="1" applyFill="1" applyAlignment="1">
      <alignment/>
    </xf>
    <xf numFmtId="2" fontId="3" fillId="3" borderId="2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0" fontId="10" fillId="2" borderId="0" xfId="0" applyNumberFormat="1" applyFont="1" applyFill="1" applyBorder="1" applyAlignment="1">
      <alignment/>
    </xf>
    <xf numFmtId="9" fontId="10" fillId="2" borderId="0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14" fontId="1" fillId="2" borderId="0" xfId="0" applyNumberFormat="1" applyFont="1" applyFill="1" applyBorder="1" applyAlignment="1">
      <alignment/>
    </xf>
    <xf numFmtId="9" fontId="6" fillId="2" borderId="0" xfId="21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6" fillId="2" borderId="21" xfId="0" applyNumberFormat="1" applyFont="1" applyFill="1" applyBorder="1" applyAlignment="1">
      <alignment/>
    </xf>
    <xf numFmtId="2" fontId="12" fillId="2" borderId="21" xfId="0" applyNumberFormat="1" applyFont="1" applyFill="1" applyBorder="1" applyAlignment="1">
      <alignment/>
    </xf>
    <xf numFmtId="9" fontId="1" fillId="2" borderId="0" xfId="21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166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3" fontId="1" fillId="5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/>
    </xf>
    <xf numFmtId="2" fontId="12" fillId="2" borderId="12" xfId="0" applyNumberFormat="1" applyFont="1" applyFill="1" applyBorder="1" applyAlignment="1">
      <alignment/>
    </xf>
    <xf numFmtId="189" fontId="3" fillId="3" borderId="0" xfId="0" applyNumberFormat="1" applyFont="1" applyFill="1" applyBorder="1" applyAlignment="1">
      <alignment/>
    </xf>
    <xf numFmtId="189" fontId="1" fillId="2" borderId="0" xfId="0" applyNumberFormat="1" applyFont="1" applyFill="1" applyBorder="1" applyAlignment="1">
      <alignment/>
    </xf>
    <xf numFmtId="189" fontId="6" fillId="2" borderId="0" xfId="17" applyNumberFormat="1" applyFont="1" applyFill="1" applyBorder="1" applyAlignment="1">
      <alignment/>
    </xf>
    <xf numFmtId="189" fontId="12" fillId="2" borderId="0" xfId="17" applyNumberFormat="1" applyFont="1" applyFill="1" applyBorder="1" applyAlignment="1">
      <alignment/>
    </xf>
    <xf numFmtId="189" fontId="12" fillId="2" borderId="0" xfId="0" applyNumberFormat="1" applyFont="1" applyFill="1" applyBorder="1" applyAlignment="1">
      <alignment/>
    </xf>
    <xf numFmtId="192" fontId="5" fillId="2" borderId="0" xfId="21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0" xfId="0" applyNumberFormat="1" applyFont="1" applyFill="1" applyBorder="1" applyAlignment="1">
      <alignment/>
    </xf>
    <xf numFmtId="189" fontId="10" fillId="6" borderId="0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/>
    </xf>
    <xf numFmtId="2" fontId="12" fillId="2" borderId="16" xfId="0" applyNumberFormat="1" applyFont="1" applyFill="1" applyBorder="1" applyAlignment="1">
      <alignment/>
    </xf>
    <xf numFmtId="2" fontId="12" fillId="2" borderId="8" xfId="0" applyNumberFormat="1" applyFont="1" applyFill="1" applyBorder="1" applyAlignment="1">
      <alignment/>
    </xf>
    <xf numFmtId="2" fontId="12" fillId="2" borderId="19" xfId="0" applyNumberFormat="1" applyFont="1" applyFill="1" applyBorder="1" applyAlignment="1">
      <alignment/>
    </xf>
    <xf numFmtId="2" fontId="12" fillId="2" borderId="16" xfId="0" applyNumberFormat="1" applyFont="1" applyFill="1" applyBorder="1" applyAlignment="1">
      <alignment/>
    </xf>
    <xf numFmtId="2" fontId="3" fillId="3" borderId="20" xfId="0" applyNumberFormat="1" applyFont="1" applyFill="1" applyBorder="1" applyAlignment="1">
      <alignment/>
    </xf>
    <xf numFmtId="2" fontId="3" fillId="3" borderId="23" xfId="0" applyNumberFormat="1" applyFont="1" applyFill="1" applyBorder="1" applyAlignment="1">
      <alignment/>
    </xf>
    <xf numFmtId="189" fontId="3" fillId="3" borderId="14" xfId="0" applyNumberFormat="1" applyFont="1" applyFill="1" applyBorder="1" applyAlignment="1">
      <alignment/>
    </xf>
    <xf numFmtId="189" fontId="6" fillId="2" borderId="1" xfId="17" applyNumberFormat="1" applyFont="1" applyFill="1" applyBorder="1" applyAlignment="1">
      <alignment/>
    </xf>
    <xf numFmtId="189" fontId="6" fillId="2" borderId="5" xfId="17" applyNumberFormat="1" applyFont="1" applyFill="1" applyBorder="1" applyAlignment="1">
      <alignment/>
    </xf>
    <xf numFmtId="189" fontId="12" fillId="2" borderId="4" xfId="17" applyNumberFormat="1" applyFont="1" applyFill="1" applyBorder="1" applyAlignment="1">
      <alignment/>
    </xf>
    <xf numFmtId="189" fontId="12" fillId="2" borderId="1" xfId="17" applyNumberFormat="1" applyFont="1" applyFill="1" applyBorder="1" applyAlignment="1">
      <alignment/>
    </xf>
    <xf numFmtId="189" fontId="12" fillId="2" borderId="5" xfId="17" applyNumberFormat="1" applyFont="1" applyFill="1" applyBorder="1" applyAlignment="1">
      <alignment/>
    </xf>
    <xf numFmtId="2" fontId="12" fillId="7" borderId="11" xfId="0" applyNumberFormat="1" applyFont="1" applyFill="1" applyBorder="1" applyAlignment="1">
      <alignment/>
    </xf>
    <xf numFmtId="2" fontId="12" fillId="7" borderId="2" xfId="0" applyNumberFormat="1" applyFont="1" applyFill="1" applyBorder="1" applyAlignment="1">
      <alignment/>
    </xf>
    <xf numFmtId="2" fontId="12" fillId="7" borderId="3" xfId="0" applyNumberFormat="1" applyFont="1" applyFill="1" applyBorder="1" applyAlignment="1">
      <alignment/>
    </xf>
    <xf numFmtId="2" fontId="6" fillId="2" borderId="16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9" fontId="6" fillId="2" borderId="0" xfId="21" applyNumberFormat="1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9" fontId="6" fillId="2" borderId="1" xfId="21" applyNumberFormat="1" applyFont="1" applyFill="1" applyBorder="1" applyAlignment="1">
      <alignment/>
    </xf>
    <xf numFmtId="9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/>
    </xf>
    <xf numFmtId="1" fontId="6" fillId="2" borderId="11" xfId="0" applyNumberFormat="1" applyFont="1" applyFill="1" applyBorder="1" applyAlignment="1">
      <alignment/>
    </xf>
    <xf numFmtId="170" fontId="6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/>
    </xf>
    <xf numFmtId="193" fontId="1" fillId="2" borderId="0" xfId="0" applyNumberFormat="1" applyFont="1" applyFill="1" applyBorder="1" applyAlignment="1">
      <alignment/>
    </xf>
    <xf numFmtId="193" fontId="5" fillId="2" borderId="0" xfId="21" applyNumberFormat="1" applyFont="1" applyFill="1" applyBorder="1" applyAlignment="1">
      <alignment/>
    </xf>
    <xf numFmtId="193" fontId="5" fillId="2" borderId="0" xfId="0" applyNumberFormat="1" applyFont="1" applyFill="1" applyBorder="1" applyAlignment="1">
      <alignment/>
    </xf>
    <xf numFmtId="9" fontId="10" fillId="7" borderId="8" xfId="0" applyNumberFormat="1" applyFont="1" applyFill="1" applyBorder="1" applyAlignment="1">
      <alignment/>
    </xf>
    <xf numFmtId="9" fontId="10" fillId="7" borderId="19" xfId="0" applyNumberFormat="1" applyFont="1" applyFill="1" applyBorder="1" applyAlignment="1">
      <alignment/>
    </xf>
    <xf numFmtId="9" fontId="28" fillId="2" borderId="0" xfId="0" applyNumberFormat="1" applyFont="1" applyFill="1" applyBorder="1" applyAlignment="1">
      <alignment/>
    </xf>
    <xf numFmtId="9" fontId="10" fillId="7" borderId="16" xfId="0" applyNumberFormat="1" applyFont="1" applyFill="1" applyBorder="1" applyAlignment="1">
      <alignment/>
    </xf>
    <xf numFmtId="2" fontId="12" fillId="2" borderId="11" xfId="0" applyNumberFormat="1" applyFont="1" applyFill="1" applyBorder="1" applyAlignment="1">
      <alignment/>
    </xf>
    <xf numFmtId="2" fontId="12" fillId="2" borderId="2" xfId="0" applyNumberFormat="1" applyFont="1" applyFill="1" applyBorder="1" applyAlignment="1">
      <alignment/>
    </xf>
    <xf numFmtId="2" fontId="12" fillId="2" borderId="3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1" fontId="6" fillId="2" borderId="8" xfId="0" applyNumberFormat="1" applyFont="1" applyFill="1" applyBorder="1" applyAlignment="1">
      <alignment/>
    </xf>
    <xf numFmtId="1" fontId="6" fillId="2" borderId="15" xfId="0" applyNumberFormat="1" applyFont="1" applyFill="1" applyBorder="1" applyAlignment="1">
      <alignment/>
    </xf>
    <xf numFmtId="1" fontId="6" fillId="2" borderId="9" xfId="0" applyNumberFormat="1" applyFont="1" applyFill="1" applyBorder="1" applyAlignment="1">
      <alignment/>
    </xf>
    <xf numFmtId="1" fontId="6" fillId="2" borderId="24" xfId="0" applyNumberFormat="1" applyFont="1" applyFill="1" applyBorder="1" applyAlignment="1">
      <alignment/>
    </xf>
    <xf numFmtId="1" fontId="6" fillId="2" borderId="25" xfId="0" applyNumberFormat="1" applyFont="1" applyFill="1" applyBorder="1" applyAlignment="1">
      <alignment/>
    </xf>
    <xf numFmtId="1" fontId="1" fillId="2" borderId="0" xfId="21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6" fillId="4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2" fontId="12" fillId="7" borderId="14" xfId="0" applyNumberFormat="1" applyFont="1" applyFill="1" applyBorder="1" applyAlignment="1">
      <alignment/>
    </xf>
    <xf numFmtId="193" fontId="10" fillId="2" borderId="0" xfId="2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2" fontId="1" fillId="2" borderId="20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5" fontId="6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165" fontId="10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5" fontId="2" fillId="2" borderId="0" xfId="0" applyNumberFormat="1" applyFont="1" applyFill="1" applyBorder="1" applyAlignment="1">
      <alignment horizontal="left"/>
    </xf>
    <xf numFmtId="164" fontId="30" fillId="2" borderId="1" xfId="0" applyNumberFormat="1" applyFont="1" applyFill="1" applyBorder="1" applyAlignment="1">
      <alignment/>
    </xf>
    <xf numFmtId="165" fontId="30" fillId="2" borderId="1" xfId="0" applyNumberFormat="1" applyFont="1" applyFill="1" applyBorder="1" applyAlignment="1">
      <alignment/>
    </xf>
    <xf numFmtId="0" fontId="30" fillId="2" borderId="0" xfId="0" applyFont="1" applyFill="1" applyBorder="1" applyAlignment="1">
      <alignment/>
    </xf>
    <xf numFmtId="164" fontId="30" fillId="2" borderId="5" xfId="21" applyNumberFormat="1" applyFont="1" applyFill="1" applyBorder="1" applyAlignment="1">
      <alignment/>
    </xf>
    <xf numFmtId="165" fontId="30" fillId="2" borderId="5" xfId="0" applyNumberFormat="1" applyFont="1" applyFill="1" applyBorder="1" applyAlignment="1">
      <alignment/>
    </xf>
    <xf numFmtId="164" fontId="30" fillId="2" borderId="10" xfId="21" applyNumberFormat="1" applyFont="1" applyFill="1" applyBorder="1" applyAlignment="1">
      <alignment/>
    </xf>
    <xf numFmtId="165" fontId="30" fillId="2" borderId="1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193" fontId="18" fillId="2" borderId="0" xfId="0" applyNumberFormat="1" applyFont="1" applyFill="1" applyBorder="1" applyAlignment="1">
      <alignment/>
    </xf>
    <xf numFmtId="9" fontId="10" fillId="7" borderId="4" xfId="21" applyNumberFormat="1" applyFont="1" applyFill="1" applyBorder="1" applyAlignment="1">
      <alignment/>
    </xf>
    <xf numFmtId="2" fontId="4" fillId="3" borderId="0" xfId="0" applyNumberFormat="1" applyFont="1" applyFill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17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/>
    </xf>
    <xf numFmtId="9" fontId="2" fillId="7" borderId="4" xfId="0" applyNumberFormat="1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9" fontId="18" fillId="2" borderId="0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18" fillId="2" borderId="0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9" fontId="1" fillId="2" borderId="2" xfId="21" applyFont="1" applyFill="1" applyBorder="1" applyAlignment="1">
      <alignment/>
    </xf>
    <xf numFmtId="168" fontId="12" fillId="2" borderId="11" xfId="0" applyNumberFormat="1" applyFont="1" applyFill="1" applyBorder="1" applyAlignment="1">
      <alignment/>
    </xf>
    <xf numFmtId="168" fontId="12" fillId="2" borderId="2" xfId="0" applyNumberFormat="1" applyFont="1" applyFill="1" applyBorder="1" applyAlignment="1">
      <alignment/>
    </xf>
    <xf numFmtId="0" fontId="1" fillId="2" borderId="21" xfId="0" applyFon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0" fillId="8" borderId="14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8">
    <dxf>
      <fill>
        <patternFill>
          <bgColor rgb="FFFFFFFF"/>
        </patternFill>
      </fill>
      <border/>
    </dxf>
    <dxf>
      <font>
        <b/>
        <i val="0"/>
      </font>
      <fill>
        <patternFill>
          <bgColor rgb="FF000099"/>
        </patternFill>
      </fill>
      <border/>
    </dxf>
    <dxf>
      <fill>
        <patternFill>
          <bgColor rgb="FFEBEB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ill>
        <patternFill>
          <bgColor rgb="FFEBEBFF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0000CE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A8"/>
      <rgbColor rgb="00666699"/>
      <rgbColor rgb="00969696"/>
      <rgbColor rgb="00B3B3FF"/>
      <rgbColor rgb="00339966"/>
      <rgbColor rgb="00C5C5FF"/>
      <rgbColor rgb="00D9D9FF"/>
      <rgbColor rgb="00EBEBFF"/>
      <rgbColor rgb="00993366"/>
      <rgbColor rgb="009F9FFF"/>
      <rgbColor rgb="008D8D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etnafrance.org/logo-arcep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50</xdr:row>
      <xdr:rowOff>57150</xdr:rowOff>
    </xdr:from>
    <xdr:to>
      <xdr:col>9</xdr:col>
      <xdr:colOff>762000</xdr:colOff>
      <xdr:row>62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781925"/>
          <a:ext cx="25146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55</xdr:row>
      <xdr:rowOff>104775</xdr:rowOff>
    </xdr:from>
    <xdr:to>
      <xdr:col>3</xdr:col>
      <xdr:colOff>333375</xdr:colOff>
      <xdr:row>62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5300" y="85439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66675</xdr:rowOff>
    </xdr:from>
    <xdr:to>
      <xdr:col>9</xdr:col>
      <xdr:colOff>762000</xdr:colOff>
      <xdr:row>6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0" y="1009650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62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962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962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962150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962150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962150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26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22088475" y="402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26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22088475" y="402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39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220884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39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220884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44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220884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44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220884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44</xdr:row>
      <xdr:rowOff>0</xdr:rowOff>
    </xdr:from>
    <xdr:ext cx="76200" cy="209550"/>
    <xdr:sp>
      <xdr:nvSpPr>
        <xdr:cNvPr id="13" name="TextBox 92"/>
        <xdr:cNvSpPr txBox="1">
          <a:spLocks noChangeArrowheads="1"/>
        </xdr:cNvSpPr>
      </xdr:nvSpPr>
      <xdr:spPr>
        <a:xfrm>
          <a:off x="220884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44</xdr:row>
      <xdr:rowOff>0</xdr:rowOff>
    </xdr:from>
    <xdr:ext cx="76200" cy="209550"/>
    <xdr:sp>
      <xdr:nvSpPr>
        <xdr:cNvPr id="14" name="TextBox 93"/>
        <xdr:cNvSpPr txBox="1">
          <a:spLocks noChangeArrowheads="1"/>
        </xdr:cNvSpPr>
      </xdr:nvSpPr>
      <xdr:spPr>
        <a:xfrm>
          <a:off x="220884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44</xdr:row>
      <xdr:rowOff>0</xdr:rowOff>
    </xdr:from>
    <xdr:ext cx="76200" cy="209550"/>
    <xdr:sp>
      <xdr:nvSpPr>
        <xdr:cNvPr id="15" name="TextBox 94"/>
        <xdr:cNvSpPr txBox="1">
          <a:spLocks noChangeArrowheads="1"/>
        </xdr:cNvSpPr>
      </xdr:nvSpPr>
      <xdr:spPr>
        <a:xfrm>
          <a:off x="220884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76200</xdr:colOff>
      <xdr:row>44</xdr:row>
      <xdr:rowOff>0</xdr:rowOff>
    </xdr:from>
    <xdr:ext cx="76200" cy="209550"/>
    <xdr:sp>
      <xdr:nvSpPr>
        <xdr:cNvPr id="16" name="TextBox 95"/>
        <xdr:cNvSpPr txBox="1">
          <a:spLocks noChangeArrowheads="1"/>
        </xdr:cNvSpPr>
      </xdr:nvSpPr>
      <xdr:spPr>
        <a:xfrm>
          <a:off x="22088475" y="678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42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33387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46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857750" y="751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209550</xdr:colOff>
      <xdr:row>59</xdr:row>
      <xdr:rowOff>0</xdr:rowOff>
    </xdr:from>
    <xdr:ext cx="76200" cy="209550"/>
    <xdr:sp>
      <xdr:nvSpPr>
        <xdr:cNvPr id="3" name="TextBox 44"/>
        <xdr:cNvSpPr txBox="1">
          <a:spLocks noChangeArrowheads="1"/>
        </xdr:cNvSpPr>
      </xdr:nvSpPr>
      <xdr:spPr>
        <a:xfrm>
          <a:off x="3057525" y="962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209550</xdr:colOff>
      <xdr:row>59</xdr:row>
      <xdr:rowOff>0</xdr:rowOff>
    </xdr:from>
    <xdr:ext cx="76200" cy="209550"/>
    <xdr:sp>
      <xdr:nvSpPr>
        <xdr:cNvPr id="4" name="TextBox 46"/>
        <xdr:cNvSpPr txBox="1">
          <a:spLocks noChangeArrowheads="1"/>
        </xdr:cNvSpPr>
      </xdr:nvSpPr>
      <xdr:spPr>
        <a:xfrm>
          <a:off x="3057525" y="962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209550</xdr:colOff>
      <xdr:row>59</xdr:row>
      <xdr:rowOff>0</xdr:rowOff>
    </xdr:from>
    <xdr:ext cx="76200" cy="209550"/>
    <xdr:sp>
      <xdr:nvSpPr>
        <xdr:cNvPr id="5" name="TextBox 47"/>
        <xdr:cNvSpPr txBox="1">
          <a:spLocks noChangeArrowheads="1"/>
        </xdr:cNvSpPr>
      </xdr:nvSpPr>
      <xdr:spPr>
        <a:xfrm>
          <a:off x="3057525" y="962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209550</xdr:colOff>
      <xdr:row>59</xdr:row>
      <xdr:rowOff>0</xdr:rowOff>
    </xdr:from>
    <xdr:ext cx="76200" cy="209550"/>
    <xdr:sp>
      <xdr:nvSpPr>
        <xdr:cNvPr id="6" name="TextBox 48"/>
        <xdr:cNvSpPr txBox="1">
          <a:spLocks noChangeArrowheads="1"/>
        </xdr:cNvSpPr>
      </xdr:nvSpPr>
      <xdr:spPr>
        <a:xfrm>
          <a:off x="3057525" y="962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209550</xdr:colOff>
      <xdr:row>59</xdr:row>
      <xdr:rowOff>0</xdr:rowOff>
    </xdr:from>
    <xdr:ext cx="76200" cy="209550"/>
    <xdr:sp>
      <xdr:nvSpPr>
        <xdr:cNvPr id="7" name="TextBox 49"/>
        <xdr:cNvSpPr txBox="1">
          <a:spLocks noChangeArrowheads="1"/>
        </xdr:cNvSpPr>
      </xdr:nvSpPr>
      <xdr:spPr>
        <a:xfrm>
          <a:off x="3057525" y="962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64820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25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57150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30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4648200" y="492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648200" y="265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3886200" y="574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3886200" y="574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3886200" y="574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209550</xdr:colOff>
      <xdr:row>59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4781550" y="962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209550</xdr:colOff>
      <xdr:row>78</xdr:row>
      <xdr:rowOff>0</xdr:rowOff>
    </xdr:from>
    <xdr:ext cx="76200" cy="209550"/>
    <xdr:sp>
      <xdr:nvSpPr>
        <xdr:cNvPr id="9" name="TextBox 43"/>
        <xdr:cNvSpPr txBox="1">
          <a:spLocks noChangeArrowheads="1"/>
        </xdr:cNvSpPr>
      </xdr:nvSpPr>
      <xdr:spPr>
        <a:xfrm>
          <a:off x="4781550" y="1270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_SFM\SFM%20-%20Fixe\perso\Victor\mod&#232;le%2011%20juillet%202005%20-%203%20fichiers\Restitution%20squee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Format restit"/>
      <sheetName val="Index"/>
      <sheetName val="Coûts"/>
      <sheetName val="Recettes"/>
    </sheetNames>
    <sheetDataSet>
      <sheetData sheetId="2">
        <row r="871">
          <cell r="G871">
            <v>111011</v>
          </cell>
          <cell r="H871">
            <v>3.542467279683559</v>
          </cell>
          <cell r="I871">
            <v>0.054638925688602596</v>
          </cell>
          <cell r="J871">
            <v>0.5715715167775934</v>
          </cell>
          <cell r="K871">
            <v>0.12742142857142857</v>
          </cell>
          <cell r="L871">
            <v>0.11505348214285714</v>
          </cell>
          <cell r="M871">
            <v>0.8686853531804818</v>
          </cell>
          <cell r="O871">
            <v>0.2201363808908206</v>
          </cell>
          <cell r="P871">
            <v>0.02494928440126049</v>
          </cell>
          <cell r="Q871">
            <v>0.2450856652920811</v>
          </cell>
          <cell r="R871">
            <v>0.054638925688602596</v>
          </cell>
          <cell r="S871">
            <v>0.5715715167775934</v>
          </cell>
          <cell r="T871">
            <v>0.12742142857142857</v>
          </cell>
          <cell r="U871">
            <v>0.11505348214285714</v>
          </cell>
          <cell r="V871">
            <v>0.8686853531804818</v>
          </cell>
          <cell r="W871">
            <v>0.005978860515667803</v>
          </cell>
          <cell r="X871">
            <v>0.6629869364350243</v>
          </cell>
          <cell r="Y871">
            <v>0.07991038895198527</v>
          </cell>
          <cell r="Z871">
            <v>2.7313325575557217</v>
          </cell>
        </row>
        <row r="872">
          <cell r="G872">
            <v>111021</v>
          </cell>
          <cell r="H872">
            <v>4.6935440879330566</v>
          </cell>
          <cell r="I872">
            <v>0.08726141548667415</v>
          </cell>
          <cell r="J872">
            <v>0.6344332999999999</v>
          </cell>
          <cell r="K872">
            <v>0.12742142857142857</v>
          </cell>
          <cell r="L872">
            <v>0.11505348214285714</v>
          </cell>
          <cell r="M872">
            <v>0.9641696262009597</v>
          </cell>
          <cell r="O872">
            <v>0.2201363808908206</v>
          </cell>
          <cell r="P872">
            <v>0.02494928440126049</v>
          </cell>
          <cell r="Q872">
            <v>0.2450856652920811</v>
          </cell>
          <cell r="R872">
            <v>0.08726141548667415</v>
          </cell>
          <cell r="S872">
            <v>0.6344332999999999</v>
          </cell>
          <cell r="T872">
            <v>0.12742142857142857</v>
          </cell>
          <cell r="U872">
            <v>0.11505348214285714</v>
          </cell>
          <cell r="V872">
            <v>0.9641696262009597</v>
          </cell>
          <cell r="W872">
            <v>0.007921610338316442</v>
          </cell>
          <cell r="X872">
            <v>0.9273198377691406</v>
          </cell>
          <cell r="Y872">
            <v>0.1031716842693875</v>
          </cell>
          <cell r="Z872">
            <v>3.211838050070845</v>
          </cell>
        </row>
        <row r="873">
          <cell r="G873">
            <v>111031</v>
          </cell>
          <cell r="H873">
            <v>4.6077881769778655</v>
          </cell>
          <cell r="I873">
            <v>0.08692781786600495</v>
          </cell>
          <cell r="J873">
            <v>0.6563362999999999</v>
          </cell>
          <cell r="K873">
            <v>0.12742142857142857</v>
          </cell>
          <cell r="L873">
            <v>0.11505348214285714</v>
          </cell>
          <cell r="M873">
            <v>0.9857390285802906</v>
          </cell>
          <cell r="N873">
            <v>0.5889788635977029</v>
          </cell>
          <cell r="O873">
            <v>0.2201363808908206</v>
          </cell>
          <cell r="P873">
            <v>0.02494928440126049</v>
          </cell>
          <cell r="Q873">
            <v>0.2450856652920811</v>
          </cell>
          <cell r="R873">
            <v>0.08692781786600495</v>
          </cell>
          <cell r="S873">
            <v>0.6563362999999999</v>
          </cell>
          <cell r="T873">
            <v>0.12742142857142857</v>
          </cell>
          <cell r="U873">
            <v>0.11505348214285714</v>
          </cell>
          <cell r="V873">
            <v>0.9857390285802906</v>
          </cell>
          <cell r="W873">
            <v>0.007776874314095235</v>
          </cell>
          <cell r="X873">
            <v>0.9058305494598198</v>
          </cell>
          <cell r="Y873">
            <v>0.10128062689816726</v>
          </cell>
          <cell r="Z873">
            <v>3.2314517731247445</v>
          </cell>
        </row>
        <row r="874">
          <cell r="G874">
            <v>111022</v>
          </cell>
          <cell r="H874">
            <v>4.605554098615044</v>
          </cell>
          <cell r="I874">
            <v>0.08726141548667415</v>
          </cell>
          <cell r="J874">
            <v>0.6344332999999999</v>
          </cell>
          <cell r="K874">
            <v>0.12742142857142857</v>
          </cell>
          <cell r="L874">
            <v>0.11505348214285714</v>
          </cell>
          <cell r="M874">
            <v>0.9641696262009597</v>
          </cell>
          <cell r="O874">
            <v>0.2201363808908206</v>
          </cell>
          <cell r="P874">
            <v>0.02494928440126049</v>
          </cell>
          <cell r="Q874">
            <v>0.2450856652920811</v>
          </cell>
          <cell r="R874">
            <v>0.08726141548667415</v>
          </cell>
          <cell r="S874">
            <v>0.6344332999999999</v>
          </cell>
          <cell r="T874">
            <v>0.12742142857142857</v>
          </cell>
          <cell r="U874">
            <v>0.11505348214285714</v>
          </cell>
          <cell r="V874">
            <v>0.9641696262009597</v>
          </cell>
          <cell r="W874">
            <v>0.007773103709638565</v>
          </cell>
          <cell r="X874">
            <v>0.9273198377691406</v>
          </cell>
          <cell r="Y874">
            <v>0.1031716842693875</v>
          </cell>
          <cell r="Z874">
            <v>3.211689543442167</v>
          </cell>
        </row>
        <row r="875">
          <cell r="G875">
            <v>111032</v>
          </cell>
          <cell r="H875">
            <v>4.548156823821341</v>
          </cell>
          <cell r="I875">
            <v>0.08692781786600495</v>
          </cell>
          <cell r="J875">
            <v>0.6563362999999999</v>
          </cell>
          <cell r="K875">
            <v>0.12742142857142857</v>
          </cell>
          <cell r="L875">
            <v>0.11505348214285714</v>
          </cell>
          <cell r="M875">
            <v>0.9857390285802906</v>
          </cell>
          <cell r="N875">
            <v>0.5889788635977029</v>
          </cell>
          <cell r="O875">
            <v>0.2201363808908206</v>
          </cell>
          <cell r="P875">
            <v>0.02494928440126049</v>
          </cell>
          <cell r="Q875">
            <v>0.2450856652920811</v>
          </cell>
          <cell r="R875">
            <v>0.08692781786600495</v>
          </cell>
          <cell r="S875">
            <v>0.6563362999999999</v>
          </cell>
          <cell r="T875">
            <v>0.12742142857142857</v>
          </cell>
          <cell r="U875">
            <v>0.11505348214285714</v>
          </cell>
          <cell r="V875">
            <v>0.9857390285802906</v>
          </cell>
          <cell r="W875">
            <v>0.007676230464841322</v>
          </cell>
          <cell r="X875">
            <v>0.9058305494598198</v>
          </cell>
          <cell r="Y875">
            <v>0.10128062689816726</v>
          </cell>
          <cell r="Z875">
            <v>3.2313511292754904</v>
          </cell>
        </row>
        <row r="876">
          <cell r="G876">
            <v>112011</v>
          </cell>
          <cell r="H876">
            <v>6.182931245691015</v>
          </cell>
          <cell r="I876">
            <v>0.029303175847263545</v>
          </cell>
          <cell r="J876">
            <v>0.5318877851320399</v>
          </cell>
          <cell r="K876">
            <v>0.12742142857142857</v>
          </cell>
          <cell r="L876">
            <v>0.11505348214285714</v>
          </cell>
          <cell r="M876">
            <v>0.8036658716935892</v>
          </cell>
          <cell r="O876">
            <v>0.4402727617816412</v>
          </cell>
          <cell r="P876">
            <v>0.31601770957943914</v>
          </cell>
          <cell r="Q876">
            <v>0.7562904713610803</v>
          </cell>
          <cell r="R876">
            <v>0.029303175847263545</v>
          </cell>
          <cell r="S876">
            <v>0.5318877851320399</v>
          </cell>
          <cell r="T876">
            <v>0.12742142857142857</v>
          </cell>
          <cell r="U876">
            <v>0.11505348214285714</v>
          </cell>
          <cell r="V876">
            <v>0.8036658716935892</v>
          </cell>
          <cell r="W876">
            <v>0.010435349313728292</v>
          </cell>
          <cell r="X876">
            <v>0.8869414871943762</v>
          </cell>
          <cell r="Y876">
            <v>0.14460441235288016</v>
          </cell>
          <cell r="Z876">
            <v>3.405603463609243</v>
          </cell>
        </row>
        <row r="877">
          <cell r="G877">
            <v>112021</v>
          </cell>
          <cell r="H877">
            <v>7.705063776161687</v>
          </cell>
          <cell r="I877">
            <v>0.07493415306346879</v>
          </cell>
          <cell r="J877">
            <v>0.6331824823799437</v>
          </cell>
          <cell r="K877">
            <v>0.12742142857142857</v>
          </cell>
          <cell r="L877">
            <v>0.11505348214285714</v>
          </cell>
          <cell r="M877">
            <v>0.9505915461576983</v>
          </cell>
          <cell r="O877">
            <v>0.4402727617816412</v>
          </cell>
          <cell r="P877">
            <v>0.31601770957943914</v>
          </cell>
          <cell r="Q877">
            <v>0.7562904713610803</v>
          </cell>
          <cell r="R877">
            <v>0.07493415306346879</v>
          </cell>
          <cell r="S877">
            <v>0.6331824823799437</v>
          </cell>
          <cell r="T877">
            <v>0.12742142857142857</v>
          </cell>
          <cell r="U877">
            <v>0.11505348214285714</v>
          </cell>
          <cell r="V877">
            <v>0.9505915461576983</v>
          </cell>
          <cell r="W877">
            <v>0.013004354859167672</v>
          </cell>
          <cell r="X877">
            <v>1.0471181671803733</v>
          </cell>
          <cell r="Y877">
            <v>0.15869996019164792</v>
          </cell>
          <cell r="Z877">
            <v>3.876296045907666</v>
          </cell>
        </row>
        <row r="878">
          <cell r="G878">
            <v>112031</v>
          </cell>
          <cell r="H878">
            <v>7.860229669054606</v>
          </cell>
          <cell r="I878">
            <v>0.08343461295312792</v>
          </cell>
          <cell r="J878">
            <v>0.6648265599646892</v>
          </cell>
          <cell r="K878">
            <v>0.12742142857142857</v>
          </cell>
          <cell r="L878">
            <v>0.11505348214285714</v>
          </cell>
          <cell r="M878">
            <v>0.9907360836321029</v>
          </cell>
          <cell r="N878">
            <v>0.5889788635977029</v>
          </cell>
          <cell r="O878">
            <v>0.4402727617816412</v>
          </cell>
          <cell r="P878">
            <v>0.31601770957943914</v>
          </cell>
          <cell r="Q878">
            <v>0.7562904713610803</v>
          </cell>
          <cell r="R878">
            <v>0.08343461295312792</v>
          </cell>
          <cell r="S878">
            <v>0.6648265599646892</v>
          </cell>
          <cell r="T878">
            <v>0.12742142857142857</v>
          </cell>
          <cell r="U878">
            <v>0.11505348214285714</v>
          </cell>
          <cell r="V878">
            <v>0.9907360836321029</v>
          </cell>
          <cell r="W878">
            <v>0.013266238782758543</v>
          </cell>
          <cell r="X878">
            <v>1.0088604780231585</v>
          </cell>
          <cell r="Y878">
            <v>0.155333283545813</v>
          </cell>
          <cell r="Z878">
            <v>3.915222638977016</v>
          </cell>
        </row>
        <row r="879">
          <cell r="G879">
            <v>112022</v>
          </cell>
          <cell r="H879">
            <v>7.378454229683783</v>
          </cell>
          <cell r="I879">
            <v>0.07493415306346879</v>
          </cell>
          <cell r="J879">
            <v>0.6331824823799437</v>
          </cell>
          <cell r="K879">
            <v>0.12742142857142857</v>
          </cell>
          <cell r="L879">
            <v>0.11505348214285714</v>
          </cell>
          <cell r="M879">
            <v>0.9505915461576983</v>
          </cell>
          <cell r="O879">
            <v>0.4402727617816412</v>
          </cell>
          <cell r="P879">
            <v>0.31601770957943914</v>
          </cell>
          <cell r="Q879">
            <v>0.7562904713610803</v>
          </cell>
          <cell r="R879">
            <v>0.07493415306346879</v>
          </cell>
          <cell r="S879">
            <v>0.6331824823799437</v>
          </cell>
          <cell r="T879">
            <v>0.12742142857142857</v>
          </cell>
          <cell r="U879">
            <v>0.11505348214285714</v>
          </cell>
          <cell r="V879">
            <v>0.9505915461576983</v>
          </cell>
          <cell r="W879">
            <v>0.012453113939406419</v>
          </cell>
          <cell r="X879">
            <v>1.0471181671803733</v>
          </cell>
          <cell r="Y879">
            <v>0.15869996019164792</v>
          </cell>
          <cell r="Z879">
            <v>3.875744804987905</v>
          </cell>
        </row>
        <row r="880">
          <cell r="G880">
            <v>112032</v>
          </cell>
          <cell r="H880">
            <v>7.471591920891564</v>
          </cell>
          <cell r="I880">
            <v>0.08343461295312792</v>
          </cell>
          <cell r="J880">
            <v>0.6648265599646892</v>
          </cell>
          <cell r="K880">
            <v>0.12742142857142857</v>
          </cell>
          <cell r="L880">
            <v>0.11505348214285714</v>
          </cell>
          <cell r="M880">
            <v>0.9907360836321029</v>
          </cell>
          <cell r="N880">
            <v>0.5889788635977029</v>
          </cell>
          <cell r="O880">
            <v>0.4402727617816412</v>
          </cell>
          <cell r="P880">
            <v>0.31601770957943914</v>
          </cell>
          <cell r="Q880">
            <v>0.7562904713610803</v>
          </cell>
          <cell r="R880">
            <v>0.08343461295312792</v>
          </cell>
          <cell r="S880">
            <v>0.6648265599646892</v>
          </cell>
          <cell r="T880">
            <v>0.12742142857142857</v>
          </cell>
          <cell r="U880">
            <v>0.11505348214285714</v>
          </cell>
          <cell r="V880">
            <v>0.9907360836321029</v>
          </cell>
          <cell r="W880">
            <v>0.012610308691119808</v>
          </cell>
          <cell r="X880">
            <v>1.0088604780231585</v>
          </cell>
          <cell r="Y880">
            <v>0.155333283545813</v>
          </cell>
          <cell r="Z880">
            <v>3.9145667088853777</v>
          </cell>
        </row>
        <row r="881">
          <cell r="G881">
            <v>213111</v>
          </cell>
          <cell r="H881">
            <v>19.15008909306396</v>
          </cell>
          <cell r="I881">
            <v>0.1078470825120197</v>
          </cell>
          <cell r="J881">
            <v>0.5901774233963388</v>
          </cell>
          <cell r="K881">
            <v>0.12742142857142857</v>
          </cell>
          <cell r="L881">
            <v>0.11505348214285714</v>
          </cell>
          <cell r="M881">
            <v>0.9404994166226442</v>
          </cell>
          <cell r="O881">
            <v>0.36689396815136766</v>
          </cell>
          <cell r="P881">
            <v>0.2148366871198362</v>
          </cell>
          <cell r="Q881">
            <v>0.5817306552712038</v>
          </cell>
          <cell r="R881">
            <v>0</v>
          </cell>
          <cell r="S881">
            <v>12.5</v>
          </cell>
          <cell r="T881">
            <v>0.17492857142857143</v>
          </cell>
          <cell r="U881">
            <v>0.03030902023562063</v>
          </cell>
          <cell r="V881">
            <v>12.705237591664192</v>
          </cell>
          <cell r="W881">
            <v>0.03232089459419606</v>
          </cell>
          <cell r="X881">
            <v>0.8869414871943762</v>
          </cell>
          <cell r="Y881">
            <v>0.12924314853697103</v>
          </cell>
          <cell r="Z881">
            <v>15.275973193883583</v>
          </cell>
        </row>
        <row r="882">
          <cell r="G882">
            <v>213121</v>
          </cell>
          <cell r="H882">
            <v>23.035437693307138</v>
          </cell>
          <cell r="I882">
            <v>0.13496856522911865</v>
          </cell>
          <cell r="J882">
            <v>0.6256184651356247</v>
          </cell>
          <cell r="K882">
            <v>0.12742142857142857</v>
          </cell>
          <cell r="L882">
            <v>0.11505348214285714</v>
          </cell>
          <cell r="M882">
            <v>1.003061941079029</v>
          </cell>
          <cell r="O882">
            <v>0.36689396815136766</v>
          </cell>
          <cell r="P882">
            <v>0.2148366871198362</v>
          </cell>
          <cell r="Q882">
            <v>0.5817306552712038</v>
          </cell>
          <cell r="R882">
            <v>0</v>
          </cell>
          <cell r="S882">
            <v>12.5</v>
          </cell>
          <cell r="T882">
            <v>0.17492857142857143</v>
          </cell>
          <cell r="U882">
            <v>0.03030902023562063</v>
          </cell>
          <cell r="V882">
            <v>12.705237591664192</v>
          </cell>
          <cell r="W882">
            <v>0.038878458998199306</v>
          </cell>
          <cell r="X882">
            <v>1.0471181671803733</v>
          </cell>
          <cell r="Y882">
            <v>0.1433386963757388</v>
          </cell>
          <cell r="Z882">
            <v>15.519365510568736</v>
          </cell>
        </row>
        <row r="883">
          <cell r="G883">
            <v>213131</v>
          </cell>
          <cell r="H883">
            <v>21.210475152949144</v>
          </cell>
          <cell r="I883">
            <v>0.11550046541917636</v>
          </cell>
          <cell r="J883">
            <v>0.6415033910924338</v>
          </cell>
          <cell r="K883">
            <v>0.12742142857142857</v>
          </cell>
          <cell r="L883">
            <v>0.11505348214285714</v>
          </cell>
          <cell r="M883">
            <v>0.9994787672258959</v>
          </cell>
          <cell r="N883">
            <v>0.5889788635977029</v>
          </cell>
          <cell r="O883">
            <v>0.36689396815136766</v>
          </cell>
          <cell r="P883">
            <v>0.2148366871198362</v>
          </cell>
          <cell r="Q883">
            <v>0.5817306552712038</v>
          </cell>
          <cell r="R883">
            <v>0</v>
          </cell>
          <cell r="S883">
            <v>12.5</v>
          </cell>
          <cell r="T883">
            <v>0.17492857142857143</v>
          </cell>
          <cell r="U883">
            <v>0.03030902023562063</v>
          </cell>
          <cell r="V883">
            <v>12.705237591664192</v>
          </cell>
          <cell r="W883">
            <v>0.035798346857800395</v>
          </cell>
          <cell r="X883">
            <v>1.0088604780231585</v>
          </cell>
          <cell r="Y883">
            <v>0.13997201972990386</v>
          </cell>
          <cell r="Z883">
            <v>15.471077858772155</v>
          </cell>
        </row>
        <row r="884">
          <cell r="G884">
            <v>213122</v>
          </cell>
          <cell r="H884">
            <v>24.458946594263264</v>
          </cell>
          <cell r="I884">
            <v>0.13496856522911865</v>
          </cell>
          <cell r="J884">
            <v>0.6256184651356247</v>
          </cell>
          <cell r="K884">
            <v>0.12742142857142857</v>
          </cell>
          <cell r="L884">
            <v>0.11505348214285714</v>
          </cell>
          <cell r="M884">
            <v>1.003061941079029</v>
          </cell>
          <cell r="O884">
            <v>0.36689396815136766</v>
          </cell>
          <cell r="P884">
            <v>0.2148366871198362</v>
          </cell>
          <cell r="Q884">
            <v>0.5817306552712038</v>
          </cell>
          <cell r="R884">
            <v>0</v>
          </cell>
          <cell r="S884">
            <v>12.5</v>
          </cell>
          <cell r="T884">
            <v>0.17492857142857143</v>
          </cell>
          <cell r="U884">
            <v>0.03030902023562063</v>
          </cell>
          <cell r="V884">
            <v>12.705237591664192</v>
          </cell>
          <cell r="W884">
            <v>0.0412810108045179</v>
          </cell>
          <cell r="X884">
            <v>1.0471181671803733</v>
          </cell>
          <cell r="Y884">
            <v>0.1433386963757388</v>
          </cell>
          <cell r="Z884">
            <v>15.521768062375056</v>
          </cell>
        </row>
        <row r="885">
          <cell r="G885">
            <v>213132</v>
          </cell>
          <cell r="H885">
            <v>22.894692988242124</v>
          </cell>
          <cell r="I885">
            <v>0.11550046541917636</v>
          </cell>
          <cell r="J885">
            <v>0.6415033910924338</v>
          </cell>
          <cell r="K885">
            <v>0.12742142857142857</v>
          </cell>
          <cell r="L885">
            <v>0.11505348214285714</v>
          </cell>
          <cell r="M885">
            <v>0.9994787672258959</v>
          </cell>
          <cell r="N885">
            <v>0.5889788635977029</v>
          </cell>
          <cell r="O885">
            <v>0.36689396815136766</v>
          </cell>
          <cell r="P885">
            <v>0.2148366871198362</v>
          </cell>
          <cell r="Q885">
            <v>0.5817306552712038</v>
          </cell>
          <cell r="R885">
            <v>0</v>
          </cell>
          <cell r="S885">
            <v>12.5</v>
          </cell>
          <cell r="T885">
            <v>0.17492857142857143</v>
          </cell>
          <cell r="U885">
            <v>0.03030902023562063</v>
          </cell>
          <cell r="V885">
            <v>12.705237591664192</v>
          </cell>
          <cell r="W885">
            <v>0.03864091468417597</v>
          </cell>
          <cell r="X885">
            <v>1.0088604780231585</v>
          </cell>
          <cell r="Y885">
            <v>0.13997201972990386</v>
          </cell>
          <cell r="Z885">
            <v>15.47392042659853</v>
          </cell>
        </row>
        <row r="886">
          <cell r="G886">
            <v>213211</v>
          </cell>
          <cell r="H886">
            <v>19.15008909306396</v>
          </cell>
          <cell r="I886">
            <v>0.1078470825120197</v>
          </cell>
          <cell r="J886">
            <v>0.5901774233963388</v>
          </cell>
          <cell r="K886">
            <v>0.12742142857142857</v>
          </cell>
          <cell r="L886">
            <v>0.11505348214285714</v>
          </cell>
          <cell r="M886">
            <v>0.9404994166226442</v>
          </cell>
          <cell r="O886">
            <v>0.36689396815136766</v>
          </cell>
          <cell r="P886">
            <v>0.2148366871198362</v>
          </cell>
          <cell r="Q886">
            <v>0.5817306552712038</v>
          </cell>
          <cell r="R886">
            <v>0</v>
          </cell>
          <cell r="S886">
            <v>12.5</v>
          </cell>
          <cell r="T886">
            <v>0.17492857142857143</v>
          </cell>
          <cell r="U886">
            <v>0.07261655025432086</v>
          </cell>
          <cell r="V886">
            <v>12.747545121682892</v>
          </cell>
          <cell r="W886">
            <v>0.03232089459419606</v>
          </cell>
          <cell r="X886">
            <v>0.8869414871943762</v>
          </cell>
          <cell r="Y886">
            <v>0.12924314853697103</v>
          </cell>
          <cell r="Z886">
            <v>15.318280723902284</v>
          </cell>
        </row>
        <row r="887">
          <cell r="G887">
            <v>213221</v>
          </cell>
          <cell r="H887">
            <v>23.035437693307138</v>
          </cell>
          <cell r="I887">
            <v>0.13496856522911865</v>
          </cell>
          <cell r="J887">
            <v>0.6256184651356247</v>
          </cell>
          <cell r="K887">
            <v>0.12742142857142857</v>
          </cell>
          <cell r="L887">
            <v>0.11505348214285714</v>
          </cell>
          <cell r="M887">
            <v>1.003061941079029</v>
          </cell>
          <cell r="O887">
            <v>0.36689396815136766</v>
          </cell>
          <cell r="P887">
            <v>0.2148366871198362</v>
          </cell>
          <cell r="Q887">
            <v>0.5817306552712038</v>
          </cell>
          <cell r="R887">
            <v>0</v>
          </cell>
          <cell r="S887">
            <v>12.5</v>
          </cell>
          <cell r="T887">
            <v>0.17492857142857143</v>
          </cell>
          <cell r="U887">
            <v>0.07261655025432086</v>
          </cell>
          <cell r="V887">
            <v>12.747545121682892</v>
          </cell>
          <cell r="W887">
            <v>0.038878458998199306</v>
          </cell>
          <cell r="X887">
            <v>1.0471181671803733</v>
          </cell>
          <cell r="Y887">
            <v>0.1433386963757388</v>
          </cell>
          <cell r="Z887">
            <v>15.561673040587436</v>
          </cell>
        </row>
        <row r="888">
          <cell r="G888">
            <v>213231</v>
          </cell>
          <cell r="H888">
            <v>21.210475152949144</v>
          </cell>
          <cell r="I888">
            <v>0.11550046541917636</v>
          </cell>
          <cell r="J888">
            <v>0.6415033910924338</v>
          </cell>
          <cell r="K888">
            <v>0.12742142857142857</v>
          </cell>
          <cell r="L888">
            <v>0.11505348214285714</v>
          </cell>
          <cell r="M888">
            <v>0.9994787672258959</v>
          </cell>
          <cell r="N888">
            <v>0.5889788635977029</v>
          </cell>
          <cell r="O888">
            <v>0.36689396815136766</v>
          </cell>
          <cell r="P888">
            <v>0.2148366871198362</v>
          </cell>
          <cell r="Q888">
            <v>0.5817306552712038</v>
          </cell>
          <cell r="R888">
            <v>0</v>
          </cell>
          <cell r="S888">
            <v>12.5</v>
          </cell>
          <cell r="T888">
            <v>0.17492857142857143</v>
          </cell>
          <cell r="U888">
            <v>0.07261655025432086</v>
          </cell>
          <cell r="V888">
            <v>12.747545121682892</v>
          </cell>
          <cell r="W888">
            <v>0.035798346857800395</v>
          </cell>
          <cell r="X888">
            <v>1.0088604780231585</v>
          </cell>
          <cell r="Y888">
            <v>0.13997201972990386</v>
          </cell>
          <cell r="Z888">
            <v>15.513385388790855</v>
          </cell>
        </row>
        <row r="889">
          <cell r="G889">
            <v>213222</v>
          </cell>
          <cell r="H889">
            <v>24.458946594263264</v>
          </cell>
          <cell r="I889">
            <v>0.13496856522911865</v>
          </cell>
          <cell r="J889">
            <v>0.6256184651356247</v>
          </cell>
          <cell r="K889">
            <v>0.12742142857142857</v>
          </cell>
          <cell r="L889">
            <v>0.11505348214285714</v>
          </cell>
          <cell r="M889">
            <v>1.003061941079029</v>
          </cell>
          <cell r="O889">
            <v>0.36689396815136766</v>
          </cell>
          <cell r="P889">
            <v>0.2148366871198362</v>
          </cell>
          <cell r="Q889">
            <v>0.5817306552712038</v>
          </cell>
          <cell r="R889">
            <v>0</v>
          </cell>
          <cell r="S889">
            <v>12.5</v>
          </cell>
          <cell r="T889">
            <v>0.17492857142857143</v>
          </cell>
          <cell r="U889">
            <v>0.07261655025432086</v>
          </cell>
          <cell r="V889">
            <v>12.747545121682892</v>
          </cell>
          <cell r="W889">
            <v>0.0412810108045179</v>
          </cell>
          <cell r="X889">
            <v>1.0471181671803733</v>
          </cell>
          <cell r="Y889">
            <v>0.1433386963757388</v>
          </cell>
          <cell r="Z889">
            <v>15.564075592393756</v>
          </cell>
        </row>
        <row r="890">
          <cell r="G890">
            <v>213232</v>
          </cell>
          <cell r="H890">
            <v>22.894692988242124</v>
          </cell>
          <cell r="I890">
            <v>0.11550046541917636</v>
          </cell>
          <cell r="J890">
            <v>0.6415033910924338</v>
          </cell>
          <cell r="K890">
            <v>0.12742142857142857</v>
          </cell>
          <cell r="L890">
            <v>0.11505348214285714</v>
          </cell>
          <cell r="M890">
            <v>0.9994787672258959</v>
          </cell>
          <cell r="N890">
            <v>0.5889788635977029</v>
          </cell>
          <cell r="O890">
            <v>0.36689396815136766</v>
          </cell>
          <cell r="P890">
            <v>0.2148366871198362</v>
          </cell>
          <cell r="Q890">
            <v>0.5817306552712038</v>
          </cell>
          <cell r="R890">
            <v>0</v>
          </cell>
          <cell r="S890">
            <v>12.5</v>
          </cell>
          <cell r="T890">
            <v>0.17492857142857143</v>
          </cell>
          <cell r="U890">
            <v>0.07261655025432086</v>
          </cell>
          <cell r="V890">
            <v>12.747545121682892</v>
          </cell>
          <cell r="W890">
            <v>0.03864091468417597</v>
          </cell>
          <cell r="X890">
            <v>1.0088604780231585</v>
          </cell>
          <cell r="Y890">
            <v>0.13997201972990386</v>
          </cell>
          <cell r="Z890">
            <v>15.51622795661723</v>
          </cell>
        </row>
        <row r="891">
          <cell r="G891">
            <v>213311</v>
          </cell>
          <cell r="H891">
            <v>22.34900607667218</v>
          </cell>
          <cell r="I891">
            <v>0.10674942484782249</v>
          </cell>
          <cell r="J891">
            <v>0.5870986453444257</v>
          </cell>
          <cell r="K891">
            <v>0.12742142857142857</v>
          </cell>
          <cell r="L891">
            <v>0.11505348214285714</v>
          </cell>
          <cell r="M891">
            <v>0.9363229809065339</v>
          </cell>
          <cell r="O891">
            <v>0.36689396815136766</v>
          </cell>
          <cell r="P891">
            <v>0.2148366871198362</v>
          </cell>
          <cell r="Q891">
            <v>0.5817306552712038</v>
          </cell>
          <cell r="R891">
            <v>0</v>
          </cell>
          <cell r="S891">
            <v>14.79</v>
          </cell>
          <cell r="T891">
            <v>0.2565</v>
          </cell>
          <cell r="U891">
            <v>0.20977188789824264</v>
          </cell>
          <cell r="V891">
            <v>15.256271887898242</v>
          </cell>
          <cell r="W891">
            <v>0.037719922146513436</v>
          </cell>
          <cell r="X891">
            <v>0.8869414871943762</v>
          </cell>
          <cell r="Y891">
            <v>0.12924314853697103</v>
          </cell>
          <cell r="Z891">
            <v>17.82823008195384</v>
          </cell>
        </row>
        <row r="892">
          <cell r="G892">
            <v>213321</v>
          </cell>
          <cell r="H892">
            <v>25.858219712991733</v>
          </cell>
          <cell r="I892">
            <v>0.13262088855414228</v>
          </cell>
          <cell r="J892">
            <v>0.624496850926299</v>
          </cell>
          <cell r="K892">
            <v>0.12742142857142857</v>
          </cell>
          <cell r="L892">
            <v>0.11505348214285714</v>
          </cell>
          <cell r="M892">
            <v>0.9995926501947271</v>
          </cell>
          <cell r="O892">
            <v>0.36689396815136766</v>
          </cell>
          <cell r="P892">
            <v>0.2148366871198362</v>
          </cell>
          <cell r="Q892">
            <v>0.5817306552712038</v>
          </cell>
          <cell r="R892">
            <v>0</v>
          </cell>
          <cell r="S892">
            <v>14.790000000000001</v>
          </cell>
          <cell r="T892">
            <v>0.2565</v>
          </cell>
          <cell r="U892">
            <v>0.20977188789824264</v>
          </cell>
          <cell r="V892">
            <v>15.256271887898244</v>
          </cell>
          <cell r="W892">
            <v>0.04364265824955748</v>
          </cell>
          <cell r="X892">
            <v>1.0471181671803733</v>
          </cell>
          <cell r="Y892">
            <v>0.1433386963757388</v>
          </cell>
          <cell r="Z892">
            <v>18.07169471516984</v>
          </cell>
        </row>
        <row r="893">
          <cell r="G893">
            <v>213331</v>
          </cell>
          <cell r="H893">
            <v>24.210475152949144</v>
          </cell>
          <cell r="I893">
            <v>0.11550046541917636</v>
          </cell>
          <cell r="J893">
            <v>0.6415033910924338</v>
          </cell>
          <cell r="K893">
            <v>0.12742142857142857</v>
          </cell>
          <cell r="L893">
            <v>0.11505348214285714</v>
          </cell>
          <cell r="M893">
            <v>0.9994787672258959</v>
          </cell>
          <cell r="N893">
            <v>0.5889788635977029</v>
          </cell>
          <cell r="O893">
            <v>0.36689396815136766</v>
          </cell>
          <cell r="P893">
            <v>0.2148366871198362</v>
          </cell>
          <cell r="Q893">
            <v>0.5817306552712038</v>
          </cell>
          <cell r="R893">
            <v>0</v>
          </cell>
          <cell r="S893">
            <v>14.79</v>
          </cell>
          <cell r="T893">
            <v>0.2565</v>
          </cell>
          <cell r="U893">
            <v>0.20977188789824264</v>
          </cell>
          <cell r="V893">
            <v>15.256271887898242</v>
          </cell>
          <cell r="W893">
            <v>0.04086164882529398</v>
          </cell>
          <cell r="X893">
            <v>1.0088604780231585</v>
          </cell>
          <cell r="Y893">
            <v>0.13997201972990386</v>
          </cell>
          <cell r="Z893">
            <v>18.027175456973698</v>
          </cell>
        </row>
        <row r="894">
          <cell r="G894">
            <v>213322</v>
          </cell>
          <cell r="H894">
            <v>29.168454561934354</v>
          </cell>
          <cell r="I894">
            <v>0.13262088855414228</v>
          </cell>
          <cell r="J894">
            <v>0.624496850926299</v>
          </cell>
          <cell r="K894">
            <v>0.12742142857142857</v>
          </cell>
          <cell r="L894">
            <v>0.11505348214285714</v>
          </cell>
          <cell r="M894">
            <v>0.9995926501947271</v>
          </cell>
          <cell r="O894">
            <v>0.36689396815136766</v>
          </cell>
          <cell r="P894">
            <v>0.2148366871198362</v>
          </cell>
          <cell r="Q894">
            <v>0.5817306552712038</v>
          </cell>
          <cell r="R894">
            <v>0</v>
          </cell>
          <cell r="S894">
            <v>14.790000000000001</v>
          </cell>
          <cell r="T894">
            <v>0.2565</v>
          </cell>
          <cell r="U894">
            <v>0.20977188789824264</v>
          </cell>
          <cell r="V894">
            <v>15.256271887898244</v>
          </cell>
          <cell r="W894">
            <v>0.04922956445739648</v>
          </cell>
          <cell r="X894">
            <v>1.0471181671803733</v>
          </cell>
          <cell r="Y894">
            <v>0.1433386963757388</v>
          </cell>
          <cell r="Z894">
            <v>18.07728162137768</v>
          </cell>
        </row>
        <row r="895">
          <cell r="G895">
            <v>213332</v>
          </cell>
          <cell r="H895">
            <v>27.473631585890548</v>
          </cell>
          <cell r="I895">
            <v>0.11550046541917636</v>
          </cell>
          <cell r="J895">
            <v>0.6415033910924338</v>
          </cell>
          <cell r="K895">
            <v>0.12742142857142857</v>
          </cell>
          <cell r="L895">
            <v>0.11505348214285714</v>
          </cell>
          <cell r="M895">
            <v>0.9994787672258959</v>
          </cell>
          <cell r="N895">
            <v>0.5889788635977029</v>
          </cell>
          <cell r="O895">
            <v>0.36689396815136766</v>
          </cell>
          <cell r="P895">
            <v>0.2148366871198362</v>
          </cell>
          <cell r="Q895">
            <v>0.5817306552712038</v>
          </cell>
          <cell r="R895">
            <v>0</v>
          </cell>
          <cell r="S895">
            <v>14.79</v>
          </cell>
          <cell r="T895">
            <v>0.2565</v>
          </cell>
          <cell r="U895">
            <v>0.20977188789824264</v>
          </cell>
          <cell r="V895">
            <v>15.256271887898242</v>
          </cell>
          <cell r="W895">
            <v>0.046369097621011164</v>
          </cell>
          <cell r="X895">
            <v>1.0088604780231585</v>
          </cell>
          <cell r="Y895">
            <v>0.13997201972990386</v>
          </cell>
          <cell r="Z895">
            <v>18.032682905769413</v>
          </cell>
        </row>
        <row r="896">
          <cell r="G896">
            <v>214411</v>
          </cell>
          <cell r="H896">
            <v>32.953439193388654</v>
          </cell>
          <cell r="I896">
            <v>0.04620791214036711</v>
          </cell>
          <cell r="J896">
            <v>0.5038714213278299</v>
          </cell>
          <cell r="K896">
            <v>0.12742142857142857</v>
          </cell>
          <cell r="L896">
            <v>0.11505348214285714</v>
          </cell>
          <cell r="M896">
            <v>0.7925542441824828</v>
          </cell>
          <cell r="O896">
            <v>0.2201363808908206</v>
          </cell>
          <cell r="P896">
            <v>5.510318677059164</v>
          </cell>
          <cell r="Q896">
            <v>5.730455057949984</v>
          </cell>
          <cell r="R896">
            <v>0</v>
          </cell>
          <cell r="S896">
            <v>20.56</v>
          </cell>
          <cell r="T896">
            <v>0.12742142857142857</v>
          </cell>
          <cell r="U896">
            <v>0.11505348214285714</v>
          </cell>
          <cell r="V896">
            <v>20.802474910714285</v>
          </cell>
          <cell r="W896">
            <v>0.055617737834521654</v>
          </cell>
          <cell r="X896">
            <v>0.8869414871943762</v>
          </cell>
          <cell r="Y896">
            <v>0.09742285239149731</v>
          </cell>
          <cell r="Z896">
            <v>28.365466290267147</v>
          </cell>
        </row>
        <row r="897">
          <cell r="G897">
            <v>214421</v>
          </cell>
          <cell r="H897">
            <v>42.81075469001813</v>
          </cell>
          <cell r="I897">
            <v>0.08117157111937748</v>
          </cell>
          <cell r="J897">
            <v>0.5786421663666775</v>
          </cell>
          <cell r="K897">
            <v>0.12742142857142857</v>
          </cell>
          <cell r="L897">
            <v>0.11505348214285714</v>
          </cell>
          <cell r="M897">
            <v>0.9022886482003407</v>
          </cell>
          <cell r="O897">
            <v>0.2201363808908206</v>
          </cell>
          <cell r="P897">
            <v>6.455416300085756</v>
          </cell>
          <cell r="Q897">
            <v>6.675552680976576</v>
          </cell>
          <cell r="R897">
            <v>0</v>
          </cell>
          <cell r="S897">
            <v>20.56</v>
          </cell>
          <cell r="T897">
            <v>0.12742142857142857</v>
          </cell>
          <cell r="U897">
            <v>0.11505348214285714</v>
          </cell>
          <cell r="V897">
            <v>20.802474910714285</v>
          </cell>
          <cell r="W897">
            <v>0.07225459281728466</v>
          </cell>
          <cell r="X897">
            <v>1.0471181671803733</v>
          </cell>
          <cell r="Y897">
            <v>0.11151840023026505</v>
          </cell>
          <cell r="Z897">
            <v>29.611207400119124</v>
          </cell>
        </row>
        <row r="898">
          <cell r="G898">
            <v>214431</v>
          </cell>
          <cell r="H898">
            <v>42.81075469001813</v>
          </cell>
          <cell r="I898">
            <v>0.08117157111937748</v>
          </cell>
          <cell r="J898">
            <v>0.5786421663666775</v>
          </cell>
          <cell r="K898">
            <v>0.12742142857142857</v>
          </cell>
          <cell r="L898">
            <v>0.11505348214285714</v>
          </cell>
          <cell r="M898">
            <v>0.9022886482003407</v>
          </cell>
          <cell r="N898">
            <v>0.5889788635977029</v>
          </cell>
          <cell r="O898">
            <v>0.2201363808908206</v>
          </cell>
          <cell r="P898">
            <v>6.455416300085756</v>
          </cell>
          <cell r="Q898">
            <v>6.675552680976576</v>
          </cell>
          <cell r="R898">
            <v>0</v>
          </cell>
          <cell r="S898">
            <v>20.56</v>
          </cell>
          <cell r="T898">
            <v>0.12742142857142857</v>
          </cell>
          <cell r="U898">
            <v>0.11505348214285714</v>
          </cell>
          <cell r="V898">
            <v>20.802474910714285</v>
          </cell>
          <cell r="W898">
            <v>0.07225459281728466</v>
          </cell>
          <cell r="X898">
            <v>1.0088604780231585</v>
          </cell>
          <cell r="Y898">
            <v>0.10815172358443015</v>
          </cell>
          <cell r="Z898">
            <v>29.56958303431608</v>
          </cell>
        </row>
        <row r="899">
          <cell r="G899">
            <v>214511</v>
          </cell>
          <cell r="H899">
            <v>32.953439193388654</v>
          </cell>
          <cell r="I899">
            <v>0.04620791214036711</v>
          </cell>
          <cell r="J899">
            <v>0.5038714213278299</v>
          </cell>
          <cell r="K899">
            <v>0.12742142857142857</v>
          </cell>
          <cell r="L899">
            <v>0.11505348214285714</v>
          </cell>
          <cell r="M899">
            <v>0.7925542441824828</v>
          </cell>
          <cell r="O899">
            <v>0.2201363808908206</v>
          </cell>
          <cell r="P899">
            <v>5.510318677059164</v>
          </cell>
          <cell r="Q899">
            <v>5.730455057949984</v>
          </cell>
          <cell r="R899">
            <v>0</v>
          </cell>
          <cell r="S899">
            <v>21.50779220779221</v>
          </cell>
          <cell r="T899">
            <v>0.12742142857142857</v>
          </cell>
          <cell r="U899">
            <v>0.11505348214285714</v>
          </cell>
          <cell r="V899">
            <v>21.750267118506496</v>
          </cell>
          <cell r="W899">
            <v>0.055617737834521654</v>
          </cell>
          <cell r="X899">
            <v>0.8869414871943762</v>
          </cell>
          <cell r="Y899">
            <v>0.09742285239149731</v>
          </cell>
          <cell r="Z899">
            <v>29.31325849805936</v>
          </cell>
        </row>
        <row r="900">
          <cell r="G900">
            <v>214521</v>
          </cell>
          <cell r="H900">
            <v>42.81075469001813</v>
          </cell>
          <cell r="I900">
            <v>0.08117157111937748</v>
          </cell>
          <cell r="J900">
            <v>0.5786421663666775</v>
          </cell>
          <cell r="K900">
            <v>0.12742142857142857</v>
          </cell>
          <cell r="L900">
            <v>0.11505348214285714</v>
          </cell>
          <cell r="M900">
            <v>0.9022886482003407</v>
          </cell>
          <cell r="O900">
            <v>0.2201363808908206</v>
          </cell>
          <cell r="P900">
            <v>6.455416300085756</v>
          </cell>
          <cell r="Q900">
            <v>6.675552680976576</v>
          </cell>
          <cell r="R900">
            <v>0</v>
          </cell>
          <cell r="S900">
            <v>22.60739299610895</v>
          </cell>
          <cell r="T900">
            <v>0.12742142857142857</v>
          </cell>
          <cell r="U900">
            <v>0.11505348214285714</v>
          </cell>
          <cell r="V900">
            <v>22.849867906823235</v>
          </cell>
          <cell r="W900">
            <v>0.07225459281728466</v>
          </cell>
          <cell r="X900">
            <v>1.0471181671803733</v>
          </cell>
          <cell r="Y900">
            <v>0.11151840023026505</v>
          </cell>
          <cell r="Z900">
            <v>31.65860039622807</v>
          </cell>
        </row>
        <row r="901">
          <cell r="G901">
            <v>214531</v>
          </cell>
          <cell r="H901">
            <v>42.81075469001813</v>
          </cell>
          <cell r="I901">
            <v>0.08117157111937748</v>
          </cell>
          <cell r="J901">
            <v>0.5786421663666775</v>
          </cell>
          <cell r="K901">
            <v>0.12742142857142857</v>
          </cell>
          <cell r="L901">
            <v>0.11505348214285714</v>
          </cell>
          <cell r="M901">
            <v>0.9022886482003407</v>
          </cell>
          <cell r="N901">
            <v>0.5889788635977029</v>
          </cell>
          <cell r="O901">
            <v>0.2201363808908206</v>
          </cell>
          <cell r="P901">
            <v>6.455416300085756</v>
          </cell>
          <cell r="Q901">
            <v>6.675552680976576</v>
          </cell>
          <cell r="R901">
            <v>0</v>
          </cell>
          <cell r="S901">
            <v>22.60739299610895</v>
          </cell>
          <cell r="T901">
            <v>0.12742142857142857</v>
          </cell>
          <cell r="U901">
            <v>0.11505348214285714</v>
          </cell>
          <cell r="V901">
            <v>22.849867906823235</v>
          </cell>
          <cell r="W901">
            <v>0.07225459281728466</v>
          </cell>
          <cell r="X901">
            <v>1.0088604780231585</v>
          </cell>
          <cell r="Y901">
            <v>0.10815172358443015</v>
          </cell>
          <cell r="Z901">
            <v>31.616976030425025</v>
          </cell>
        </row>
        <row r="902">
          <cell r="G902">
            <v>215411</v>
          </cell>
          <cell r="H902">
            <v>32.953439193388654</v>
          </cell>
          <cell r="I902">
            <v>0.04620791214036711</v>
          </cell>
          <cell r="J902">
            <v>0.5038714213278299</v>
          </cell>
          <cell r="K902">
            <v>0.12742142857142857</v>
          </cell>
          <cell r="L902">
            <v>0.11505348214285714</v>
          </cell>
          <cell r="M902">
            <v>0.7925542441824828</v>
          </cell>
          <cell r="O902">
            <v>0.2201363808908206</v>
          </cell>
          <cell r="P902">
            <v>5.510318677059164</v>
          </cell>
          <cell r="Q902">
            <v>5.730455057949984</v>
          </cell>
          <cell r="R902">
            <v>0</v>
          </cell>
          <cell r="S902">
            <v>20.56</v>
          </cell>
          <cell r="T902">
            <v>0.12742142857142857</v>
          </cell>
          <cell r="U902">
            <v>0.11505348214285714</v>
          </cell>
          <cell r="V902">
            <v>20.802474910714285</v>
          </cell>
          <cell r="W902">
            <v>0.055617737834521654</v>
          </cell>
          <cell r="X902">
            <v>0.8869414871943762</v>
          </cell>
          <cell r="Y902">
            <v>0.09742285239149731</v>
          </cell>
          <cell r="Z902">
            <v>28.365466290267147</v>
          </cell>
        </row>
        <row r="903">
          <cell r="G903">
            <v>215421</v>
          </cell>
          <cell r="H903">
            <v>42.81075469001813</v>
          </cell>
          <cell r="I903">
            <v>0.08117157111937748</v>
          </cell>
          <cell r="J903">
            <v>0.5786421663666775</v>
          </cell>
          <cell r="K903">
            <v>0.12742142857142857</v>
          </cell>
          <cell r="L903">
            <v>0.11505348214285714</v>
          </cell>
          <cell r="M903">
            <v>0.9022886482003407</v>
          </cell>
          <cell r="O903">
            <v>0.2201363808908206</v>
          </cell>
          <cell r="P903">
            <v>6.455416300085756</v>
          </cell>
          <cell r="Q903">
            <v>6.675552680976576</v>
          </cell>
          <cell r="R903">
            <v>0</v>
          </cell>
          <cell r="S903">
            <v>20.56</v>
          </cell>
          <cell r="T903">
            <v>0.12742142857142857</v>
          </cell>
          <cell r="U903">
            <v>0.11505348214285714</v>
          </cell>
          <cell r="V903">
            <v>20.802474910714285</v>
          </cell>
          <cell r="W903">
            <v>0.07225459281728466</v>
          </cell>
          <cell r="X903">
            <v>1.0471181671803733</v>
          </cell>
          <cell r="Y903">
            <v>0.11151840023026505</v>
          </cell>
          <cell r="Z903">
            <v>29.611207400119124</v>
          </cell>
        </row>
        <row r="904">
          <cell r="G904">
            <v>215431</v>
          </cell>
          <cell r="H904">
            <v>42.81075469001813</v>
          </cell>
          <cell r="I904">
            <v>0.08117157111937748</v>
          </cell>
          <cell r="J904">
            <v>0.5786421663666775</v>
          </cell>
          <cell r="K904">
            <v>0.12742142857142857</v>
          </cell>
          <cell r="L904">
            <v>0.11505348214285714</v>
          </cell>
          <cell r="M904">
            <v>0.9022886482003407</v>
          </cell>
          <cell r="N904">
            <v>0.5889788635977029</v>
          </cell>
          <cell r="O904">
            <v>0.2201363808908206</v>
          </cell>
          <cell r="P904">
            <v>6.455416300085756</v>
          </cell>
          <cell r="Q904">
            <v>6.675552680976576</v>
          </cell>
          <cell r="R904">
            <v>0</v>
          </cell>
          <cell r="S904">
            <v>20.56</v>
          </cell>
          <cell r="T904">
            <v>0.12742142857142857</v>
          </cell>
          <cell r="U904">
            <v>0.11505348214285714</v>
          </cell>
          <cell r="V904">
            <v>20.802474910714285</v>
          </cell>
          <cell r="W904">
            <v>0.07225459281728466</v>
          </cell>
          <cell r="X904">
            <v>1.0088604780231585</v>
          </cell>
          <cell r="Y904">
            <v>0.10815172358443015</v>
          </cell>
          <cell r="Z904">
            <v>29.56958303431608</v>
          </cell>
        </row>
        <row r="905">
          <cell r="G905">
            <v>215511</v>
          </cell>
          <cell r="H905">
            <v>32.953439193388654</v>
          </cell>
          <cell r="I905">
            <v>0.04620791214036711</v>
          </cell>
          <cell r="J905">
            <v>0.5038714213278299</v>
          </cell>
          <cell r="K905">
            <v>0.12742142857142857</v>
          </cell>
          <cell r="L905">
            <v>0.11505348214285714</v>
          </cell>
          <cell r="M905">
            <v>0.7925542441824828</v>
          </cell>
          <cell r="O905">
            <v>0.2201363808908206</v>
          </cell>
          <cell r="P905">
            <v>5.510318677059164</v>
          </cell>
          <cell r="Q905">
            <v>5.730455057949984</v>
          </cell>
          <cell r="R905">
            <v>0</v>
          </cell>
          <cell r="S905">
            <v>21.50779220779221</v>
          </cell>
          <cell r="T905">
            <v>0.12742142857142857</v>
          </cell>
          <cell r="U905">
            <v>0.11505348214285714</v>
          </cell>
          <cell r="V905">
            <v>21.750267118506496</v>
          </cell>
          <cell r="W905">
            <v>0.055617737834521654</v>
          </cell>
          <cell r="X905">
            <v>0.8869414871943762</v>
          </cell>
          <cell r="Y905">
            <v>0.09742285239149731</v>
          </cell>
          <cell r="Z905">
            <v>29.31325849805936</v>
          </cell>
        </row>
        <row r="906">
          <cell r="G906">
            <v>215521</v>
          </cell>
          <cell r="H906">
            <v>42.81075469001813</v>
          </cell>
          <cell r="I906">
            <v>0.08117157111937748</v>
          </cell>
          <cell r="J906">
            <v>0.5786421663666775</v>
          </cell>
          <cell r="K906">
            <v>0.12742142857142857</v>
          </cell>
          <cell r="L906">
            <v>0.11505348214285714</v>
          </cell>
          <cell r="M906">
            <v>0.9022886482003407</v>
          </cell>
          <cell r="O906">
            <v>0.2201363808908206</v>
          </cell>
          <cell r="P906">
            <v>6.455416300085756</v>
          </cell>
          <cell r="Q906">
            <v>6.675552680976576</v>
          </cell>
          <cell r="R906">
            <v>0</v>
          </cell>
          <cell r="S906">
            <v>22.60739299610895</v>
          </cell>
          <cell r="T906">
            <v>0.12742142857142857</v>
          </cell>
          <cell r="U906">
            <v>0.11505348214285714</v>
          </cell>
          <cell r="V906">
            <v>22.849867906823235</v>
          </cell>
          <cell r="W906">
            <v>0.07225459281728466</v>
          </cell>
          <cell r="X906">
            <v>1.0471181671803733</v>
          </cell>
          <cell r="Y906">
            <v>0.11151840023026505</v>
          </cell>
          <cell r="Z906">
            <v>31.65860039622807</v>
          </cell>
        </row>
        <row r="907">
          <cell r="G907">
            <v>215531</v>
          </cell>
          <cell r="H907">
            <v>42.81075469001813</v>
          </cell>
          <cell r="I907">
            <v>0.08117157111937748</v>
          </cell>
          <cell r="J907">
            <v>0.5786421663666775</v>
          </cell>
          <cell r="K907">
            <v>0.12742142857142857</v>
          </cell>
          <cell r="L907">
            <v>0.11505348214285714</v>
          </cell>
          <cell r="M907">
            <v>0.9022886482003407</v>
          </cell>
          <cell r="N907">
            <v>0.5889788635977029</v>
          </cell>
          <cell r="O907">
            <v>0.2201363808908206</v>
          </cell>
          <cell r="P907">
            <v>6.455416300085756</v>
          </cell>
          <cell r="Q907">
            <v>6.675552680976576</v>
          </cell>
          <cell r="R907">
            <v>0</v>
          </cell>
          <cell r="S907">
            <v>22.60739299610895</v>
          </cell>
          <cell r="T907">
            <v>0.12742142857142857</v>
          </cell>
          <cell r="U907">
            <v>0.11505348214285714</v>
          </cell>
          <cell r="V907">
            <v>22.849867906823235</v>
          </cell>
          <cell r="W907">
            <v>0.07225459281728466</v>
          </cell>
          <cell r="X907">
            <v>1.0088604780231585</v>
          </cell>
          <cell r="Y907">
            <v>0.10815172358443015</v>
          </cell>
          <cell r="Z907">
            <v>31.616976030425025</v>
          </cell>
        </row>
        <row r="908">
          <cell r="G908">
            <v>215611</v>
          </cell>
          <cell r="H908">
            <v>32.953439193388654</v>
          </cell>
          <cell r="I908">
            <v>0.04620791214036711</v>
          </cell>
          <cell r="J908">
            <v>0.5038714213278299</v>
          </cell>
          <cell r="K908">
            <v>0.12742142857142857</v>
          </cell>
          <cell r="L908">
            <v>0.11505348214285714</v>
          </cell>
          <cell r="M908">
            <v>0.7925542441824828</v>
          </cell>
          <cell r="O908">
            <v>0.2201363808908206</v>
          </cell>
          <cell r="P908">
            <v>5.308318677059164</v>
          </cell>
          <cell r="Q908">
            <v>5.5284550579499845</v>
          </cell>
          <cell r="R908">
            <v>0</v>
          </cell>
          <cell r="S908">
            <v>31.594805194805193</v>
          </cell>
          <cell r="T908">
            <v>0.12742142857142857</v>
          </cell>
          <cell r="U908">
            <v>0.11505348214285714</v>
          </cell>
          <cell r="V908">
            <v>31.83728010551948</v>
          </cell>
          <cell r="W908">
            <v>0.055617737834521654</v>
          </cell>
          <cell r="X908">
            <v>0.8869414871943762</v>
          </cell>
          <cell r="Y908">
            <v>0.09742285239149731</v>
          </cell>
          <cell r="Z908">
            <v>39.19827148507234</v>
          </cell>
        </row>
        <row r="909">
          <cell r="G909">
            <v>215621</v>
          </cell>
          <cell r="H909">
            <v>42.81075469001813</v>
          </cell>
          <cell r="I909">
            <v>0.08117157111937748</v>
          </cell>
          <cell r="J909">
            <v>0.5786421663666775</v>
          </cell>
          <cell r="K909">
            <v>0.12742142857142857</v>
          </cell>
          <cell r="L909">
            <v>0.11505348214285714</v>
          </cell>
          <cell r="M909">
            <v>0.9022886482003407</v>
          </cell>
          <cell r="O909">
            <v>0.2201363808908206</v>
          </cell>
          <cell r="P909">
            <v>6.253416300085755</v>
          </cell>
          <cell r="Q909">
            <v>6.473552680976575</v>
          </cell>
          <cell r="R909">
            <v>0</v>
          </cell>
          <cell r="S909">
            <v>21.93</v>
          </cell>
          <cell r="T909">
            <v>0.12742142857142857</v>
          </cell>
          <cell r="U909">
            <v>0.11505348214285714</v>
          </cell>
          <cell r="V909">
            <v>22.172474910714286</v>
          </cell>
          <cell r="W909">
            <v>0.07225459281728466</v>
          </cell>
          <cell r="X909">
            <v>1.0471181671803733</v>
          </cell>
          <cell r="Y909">
            <v>0.11151840023026505</v>
          </cell>
          <cell r="Z909">
            <v>30.779207400119123</v>
          </cell>
        </row>
        <row r="910">
          <cell r="G910">
            <v>215631</v>
          </cell>
          <cell r="H910">
            <v>42.81075469001813</v>
          </cell>
          <cell r="I910">
            <v>0.08117157111937748</v>
          </cell>
          <cell r="J910">
            <v>0.5786421663666775</v>
          </cell>
          <cell r="K910">
            <v>0.12742142857142857</v>
          </cell>
          <cell r="L910">
            <v>0.11505348214285714</v>
          </cell>
          <cell r="M910">
            <v>0.9022886482003407</v>
          </cell>
          <cell r="N910">
            <v>0.5889788635977029</v>
          </cell>
          <cell r="O910">
            <v>0.2201363808908206</v>
          </cell>
          <cell r="P910">
            <v>6.253416300085755</v>
          </cell>
          <cell r="Q910">
            <v>6.473552680976575</v>
          </cell>
          <cell r="R910">
            <v>0</v>
          </cell>
          <cell r="S910">
            <v>34.182101167315174</v>
          </cell>
          <cell r="T910">
            <v>0.12742142857142857</v>
          </cell>
          <cell r="U910">
            <v>0.11505348214285714</v>
          </cell>
          <cell r="V910">
            <v>34.42457607802946</v>
          </cell>
          <cell r="W910">
            <v>0.07225459281728466</v>
          </cell>
          <cell r="X910">
            <v>1.0088604780231585</v>
          </cell>
          <cell r="Y910">
            <v>0.10815172358443015</v>
          </cell>
          <cell r="Z910">
            <v>42.98968420163125</v>
          </cell>
        </row>
        <row r="911">
          <cell r="G911">
            <v>215711</v>
          </cell>
          <cell r="H911">
            <v>32.953439193388654</v>
          </cell>
          <cell r="I911">
            <v>0.04620791214036711</v>
          </cell>
          <cell r="J911">
            <v>0.5038714213278299</v>
          </cell>
          <cell r="K911">
            <v>0.12742142857142857</v>
          </cell>
          <cell r="L911">
            <v>0.11505348214285714</v>
          </cell>
          <cell r="M911">
            <v>0.7925542441824828</v>
          </cell>
          <cell r="O911">
            <v>0.2201363808908206</v>
          </cell>
          <cell r="P911">
            <v>5.308318677059164</v>
          </cell>
          <cell r="Q911">
            <v>5.5284550579499845</v>
          </cell>
          <cell r="R911">
            <v>0</v>
          </cell>
          <cell r="S911">
            <v>21.93</v>
          </cell>
          <cell r="T911">
            <v>0.12742142857142857</v>
          </cell>
          <cell r="U911">
            <v>0.11505348214285714</v>
          </cell>
          <cell r="V911">
            <v>22.172474910714286</v>
          </cell>
          <cell r="W911">
            <v>0.055617737834521654</v>
          </cell>
          <cell r="X911">
            <v>0.8869414871943762</v>
          </cell>
          <cell r="Y911">
            <v>0.09742285239149731</v>
          </cell>
          <cell r="Z911">
            <v>29.53346629026715</v>
          </cell>
        </row>
        <row r="912">
          <cell r="G912">
            <v>215721</v>
          </cell>
          <cell r="H912">
            <v>42.81075469001813</v>
          </cell>
          <cell r="I912">
            <v>0.08117157111937748</v>
          </cell>
          <cell r="J912">
            <v>0.5786421663666775</v>
          </cell>
          <cell r="K912">
            <v>0.12742142857142857</v>
          </cell>
          <cell r="L912">
            <v>0.11505348214285714</v>
          </cell>
          <cell r="M912">
            <v>0.9022886482003407</v>
          </cell>
          <cell r="O912">
            <v>0.2201363808908206</v>
          </cell>
          <cell r="P912">
            <v>6.253416300085755</v>
          </cell>
          <cell r="Q912">
            <v>6.473552680976575</v>
          </cell>
          <cell r="R912">
            <v>0</v>
          </cell>
          <cell r="S912">
            <v>34.182101167315174</v>
          </cell>
          <cell r="T912">
            <v>0.12742142857142857</v>
          </cell>
          <cell r="U912">
            <v>0.11505348214285714</v>
          </cell>
          <cell r="V912">
            <v>34.42457607802946</v>
          </cell>
          <cell r="W912">
            <v>0.07225459281728466</v>
          </cell>
          <cell r="X912">
            <v>1.0471181671803733</v>
          </cell>
          <cell r="Y912">
            <v>0.11151840023026505</v>
          </cell>
          <cell r="Z912">
            <v>43.0313085674343</v>
          </cell>
        </row>
        <row r="913">
          <cell r="G913">
            <v>215731</v>
          </cell>
          <cell r="H913">
            <v>42.81075469001813</v>
          </cell>
          <cell r="I913">
            <v>0.08117157111937748</v>
          </cell>
          <cell r="J913">
            <v>0.5786421663666775</v>
          </cell>
          <cell r="K913">
            <v>0.12742142857142857</v>
          </cell>
          <cell r="L913">
            <v>0.11505348214285714</v>
          </cell>
          <cell r="M913">
            <v>0.9022886482003407</v>
          </cell>
          <cell r="N913">
            <v>0.5889788635977029</v>
          </cell>
          <cell r="O913">
            <v>0.2201363808908206</v>
          </cell>
          <cell r="P913">
            <v>6.253416300085755</v>
          </cell>
          <cell r="Q913">
            <v>6.473552680976575</v>
          </cell>
          <cell r="R913">
            <v>0</v>
          </cell>
          <cell r="S913">
            <v>21.93</v>
          </cell>
          <cell r="T913">
            <v>0.12742142857142857</v>
          </cell>
          <cell r="U913">
            <v>0.11505348214285714</v>
          </cell>
          <cell r="V913">
            <v>22.172474910714286</v>
          </cell>
          <cell r="W913">
            <v>0.07225459281728466</v>
          </cell>
          <cell r="X913">
            <v>1.0088604780231585</v>
          </cell>
          <cell r="Y913">
            <v>0.10815172358443015</v>
          </cell>
          <cell r="Z913">
            <v>30.737583034316078</v>
          </cell>
        </row>
        <row r="914">
          <cell r="G914">
            <v>216411</v>
          </cell>
          <cell r="H914">
            <v>32.953439193388654</v>
          </cell>
          <cell r="I914">
            <v>0.04620791214036711</v>
          </cell>
          <cell r="J914">
            <v>0.5038714213278299</v>
          </cell>
          <cell r="K914">
            <v>0.12742142857142857</v>
          </cell>
          <cell r="L914">
            <v>0.11505348214285714</v>
          </cell>
          <cell r="M914">
            <v>0.7925542441824828</v>
          </cell>
          <cell r="O914">
            <v>0.2201363808908206</v>
          </cell>
          <cell r="P914">
            <v>5.510318677059164</v>
          </cell>
          <cell r="Q914">
            <v>5.730455057949984</v>
          </cell>
          <cell r="R914">
            <v>0</v>
          </cell>
          <cell r="S914">
            <v>20.56</v>
          </cell>
          <cell r="T914">
            <v>0.12742142857142857</v>
          </cell>
          <cell r="U914">
            <v>0.11505348214285714</v>
          </cell>
          <cell r="V914">
            <v>20.802474910714285</v>
          </cell>
          <cell r="W914">
            <v>0.055617737834521654</v>
          </cell>
          <cell r="X914">
            <v>0.8869414871943762</v>
          </cell>
          <cell r="Y914">
            <v>0.09742285239149731</v>
          </cell>
          <cell r="Z914">
            <v>28.365466290267147</v>
          </cell>
        </row>
        <row r="915">
          <cell r="G915">
            <v>216421</v>
          </cell>
          <cell r="H915">
            <v>42.81075469001813</v>
          </cell>
          <cell r="I915">
            <v>0.08117157111937748</v>
          </cell>
          <cell r="J915">
            <v>0.5786421663666775</v>
          </cell>
          <cell r="K915">
            <v>0.12742142857142857</v>
          </cell>
          <cell r="L915">
            <v>0.11505348214285714</v>
          </cell>
          <cell r="M915">
            <v>0.9022886482003407</v>
          </cell>
          <cell r="O915">
            <v>0.2201363808908206</v>
          </cell>
          <cell r="P915">
            <v>6.455416300085756</v>
          </cell>
          <cell r="Q915">
            <v>6.675552680976576</v>
          </cell>
          <cell r="R915">
            <v>0</v>
          </cell>
          <cell r="S915">
            <v>20.56</v>
          </cell>
          <cell r="T915">
            <v>0.12742142857142857</v>
          </cell>
          <cell r="U915">
            <v>0.11505348214285714</v>
          </cell>
          <cell r="V915">
            <v>20.802474910714285</v>
          </cell>
          <cell r="W915">
            <v>0.07225459281728466</v>
          </cell>
          <cell r="X915">
            <v>1.0471181671803733</v>
          </cell>
          <cell r="Y915">
            <v>0.11151840023026505</v>
          </cell>
          <cell r="Z915">
            <v>29.611207400119124</v>
          </cell>
        </row>
        <row r="916">
          <cell r="G916">
            <v>216431</v>
          </cell>
          <cell r="H916">
            <v>42.81075469001813</v>
          </cell>
          <cell r="I916">
            <v>0.08117157111937748</v>
          </cell>
          <cell r="J916">
            <v>0.5786421663666775</v>
          </cell>
          <cell r="K916">
            <v>0.12742142857142857</v>
          </cell>
          <cell r="L916">
            <v>0.11505348214285714</v>
          </cell>
          <cell r="M916">
            <v>0.9022886482003407</v>
          </cell>
          <cell r="N916">
            <v>0.5889788635977029</v>
          </cell>
          <cell r="O916">
            <v>0.2201363808908206</v>
          </cell>
          <cell r="P916">
            <v>6.455416300085756</v>
          </cell>
          <cell r="Q916">
            <v>6.675552680976576</v>
          </cell>
          <cell r="R916">
            <v>0</v>
          </cell>
          <cell r="S916">
            <v>20.56</v>
          </cell>
          <cell r="T916">
            <v>0.12742142857142857</v>
          </cell>
          <cell r="U916">
            <v>0.11505348214285714</v>
          </cell>
          <cell r="V916">
            <v>20.802474910714285</v>
          </cell>
          <cell r="W916">
            <v>0.07225459281728466</v>
          </cell>
          <cell r="X916">
            <v>1.0088604780231585</v>
          </cell>
          <cell r="Y916">
            <v>0.10815172358443015</v>
          </cell>
          <cell r="Z916">
            <v>29.56958303431608</v>
          </cell>
        </row>
        <row r="917">
          <cell r="G917">
            <v>216511</v>
          </cell>
          <cell r="H917">
            <v>32.953439193388654</v>
          </cell>
          <cell r="I917">
            <v>0.04620791214036711</v>
          </cell>
          <cell r="J917">
            <v>0.5038714213278299</v>
          </cell>
          <cell r="K917">
            <v>0.12742142857142857</v>
          </cell>
          <cell r="L917">
            <v>0.11505348214285714</v>
          </cell>
          <cell r="M917">
            <v>0.7925542441824828</v>
          </cell>
          <cell r="O917">
            <v>0.2201363808908206</v>
          </cell>
          <cell r="P917">
            <v>5.510318677059164</v>
          </cell>
          <cell r="Q917">
            <v>5.730455057949984</v>
          </cell>
          <cell r="R917">
            <v>0</v>
          </cell>
          <cell r="S917">
            <v>21.50779220779221</v>
          </cell>
          <cell r="T917">
            <v>0.12742142857142857</v>
          </cell>
          <cell r="U917">
            <v>0.11505348214285714</v>
          </cell>
          <cell r="V917">
            <v>21.750267118506496</v>
          </cell>
          <cell r="W917">
            <v>0.055617737834521654</v>
          </cell>
          <cell r="X917">
            <v>0.8869414871943762</v>
          </cell>
          <cell r="Y917">
            <v>0.09742285239149731</v>
          </cell>
          <cell r="Z917">
            <v>29.31325849805936</v>
          </cell>
        </row>
        <row r="918">
          <cell r="G918">
            <v>216521</v>
          </cell>
          <cell r="H918">
            <v>42.81075469001813</v>
          </cell>
          <cell r="I918">
            <v>0.08117157111937748</v>
          </cell>
          <cell r="J918">
            <v>0.5786421663666775</v>
          </cell>
          <cell r="K918">
            <v>0.12742142857142857</v>
          </cell>
          <cell r="L918">
            <v>0.11505348214285714</v>
          </cell>
          <cell r="M918">
            <v>0.9022886482003407</v>
          </cell>
          <cell r="O918">
            <v>0.2201363808908206</v>
          </cell>
          <cell r="P918">
            <v>6.455416300085756</v>
          </cell>
          <cell r="Q918">
            <v>6.675552680976576</v>
          </cell>
          <cell r="R918">
            <v>0</v>
          </cell>
          <cell r="S918">
            <v>22.60739299610895</v>
          </cell>
          <cell r="T918">
            <v>0.12742142857142857</v>
          </cell>
          <cell r="U918">
            <v>0.11505348214285714</v>
          </cell>
          <cell r="V918">
            <v>22.849867906823235</v>
          </cell>
          <cell r="W918">
            <v>0.07225459281728466</v>
          </cell>
          <cell r="X918">
            <v>1.0471181671803733</v>
          </cell>
          <cell r="Y918">
            <v>0.11151840023026505</v>
          </cell>
          <cell r="Z918">
            <v>31.65860039622807</v>
          </cell>
        </row>
        <row r="919">
          <cell r="G919">
            <v>216531</v>
          </cell>
          <cell r="H919">
            <v>42.81075469001813</v>
          </cell>
          <cell r="I919">
            <v>0.08117157111937748</v>
          </cell>
          <cell r="J919">
            <v>0.5786421663666775</v>
          </cell>
          <cell r="K919">
            <v>0.12742142857142857</v>
          </cell>
          <cell r="L919">
            <v>0.11505348214285714</v>
          </cell>
          <cell r="M919">
            <v>0.9022886482003407</v>
          </cell>
          <cell r="N919">
            <v>0.5889788635977029</v>
          </cell>
          <cell r="O919">
            <v>0.2201363808908206</v>
          </cell>
          <cell r="P919">
            <v>6.455416300085756</v>
          </cell>
          <cell r="Q919">
            <v>6.675552680976576</v>
          </cell>
          <cell r="R919">
            <v>0</v>
          </cell>
          <cell r="S919">
            <v>22.60739299610895</v>
          </cell>
          <cell r="T919">
            <v>0.12742142857142857</v>
          </cell>
          <cell r="U919">
            <v>0.11505348214285714</v>
          </cell>
          <cell r="V919">
            <v>22.849867906823235</v>
          </cell>
          <cell r="W919">
            <v>0.07225459281728466</v>
          </cell>
          <cell r="X919">
            <v>1.0088604780231585</v>
          </cell>
          <cell r="Y919">
            <v>0.10815172358443015</v>
          </cell>
          <cell r="Z919">
            <v>31.616976030425025</v>
          </cell>
        </row>
        <row r="920">
          <cell r="G920">
            <v>217411</v>
          </cell>
          <cell r="H920">
            <v>32.953439193388654</v>
          </cell>
          <cell r="I920">
            <v>0.04620791214036711</v>
          </cell>
          <cell r="J920">
            <v>0.5038714213278299</v>
          </cell>
          <cell r="K920">
            <v>0.12742142857142857</v>
          </cell>
          <cell r="L920">
            <v>0.11505348214285714</v>
          </cell>
          <cell r="M920">
            <v>0.7925542441824828</v>
          </cell>
          <cell r="O920">
            <v>0.2201363808908206</v>
          </cell>
          <cell r="P920">
            <v>5.510318677059164</v>
          </cell>
          <cell r="Q920">
            <v>5.730455057949984</v>
          </cell>
          <cell r="R920">
            <v>0</v>
          </cell>
          <cell r="S920">
            <v>20.56</v>
          </cell>
          <cell r="T920">
            <v>0.12742142857142857</v>
          </cell>
          <cell r="U920">
            <v>0.11505348214285714</v>
          </cell>
          <cell r="V920">
            <v>20.802474910714285</v>
          </cell>
          <cell r="W920">
            <v>0.055617737834521654</v>
          </cell>
          <cell r="X920">
            <v>0.8869414871943762</v>
          </cell>
          <cell r="Y920">
            <v>0.09742285239149731</v>
          </cell>
          <cell r="Z920">
            <v>28.365466290267147</v>
          </cell>
        </row>
        <row r="921">
          <cell r="G921">
            <v>217421</v>
          </cell>
          <cell r="H921">
            <v>42.81075469001813</v>
          </cell>
          <cell r="I921">
            <v>0.08117157111937748</v>
          </cell>
          <cell r="J921">
            <v>0.5786421663666775</v>
          </cell>
          <cell r="K921">
            <v>0.12742142857142857</v>
          </cell>
          <cell r="L921">
            <v>0.11505348214285714</v>
          </cell>
          <cell r="M921">
            <v>0.9022886482003407</v>
          </cell>
          <cell r="O921">
            <v>0.2201363808908206</v>
          </cell>
          <cell r="P921">
            <v>6.455416300085756</v>
          </cell>
          <cell r="Q921">
            <v>6.675552680976576</v>
          </cell>
          <cell r="R921">
            <v>0</v>
          </cell>
          <cell r="S921">
            <v>20.56</v>
          </cell>
          <cell r="T921">
            <v>0.12742142857142857</v>
          </cell>
          <cell r="U921">
            <v>0.11505348214285714</v>
          </cell>
          <cell r="V921">
            <v>20.802474910714285</v>
          </cell>
          <cell r="W921">
            <v>0.07225459281728466</v>
          </cell>
          <cell r="X921">
            <v>1.0471181671803733</v>
          </cell>
          <cell r="Y921">
            <v>0.11151840023026505</v>
          </cell>
          <cell r="Z921">
            <v>29.611207400119124</v>
          </cell>
        </row>
        <row r="922">
          <cell r="G922">
            <v>217431</v>
          </cell>
          <cell r="H922">
            <v>42.81075469001813</v>
          </cell>
          <cell r="I922">
            <v>0.08117157111937748</v>
          </cell>
          <cell r="J922">
            <v>0.5786421663666775</v>
          </cell>
          <cell r="K922">
            <v>0.12742142857142857</v>
          </cell>
          <cell r="L922">
            <v>0.11505348214285714</v>
          </cell>
          <cell r="M922">
            <v>0.9022886482003407</v>
          </cell>
          <cell r="N922">
            <v>0.5889788635977029</v>
          </cell>
          <cell r="O922">
            <v>0.2201363808908206</v>
          </cell>
          <cell r="P922">
            <v>6.455416300085756</v>
          </cell>
          <cell r="Q922">
            <v>6.675552680976576</v>
          </cell>
          <cell r="R922">
            <v>0</v>
          </cell>
          <cell r="S922">
            <v>20.56</v>
          </cell>
          <cell r="T922">
            <v>0.12742142857142857</v>
          </cell>
          <cell r="U922">
            <v>0.11505348214285714</v>
          </cell>
          <cell r="V922">
            <v>20.802474910714285</v>
          </cell>
          <cell r="W922">
            <v>0.07225459281728466</v>
          </cell>
          <cell r="X922">
            <v>1.0088604780231585</v>
          </cell>
          <cell r="Y922">
            <v>0.10815172358443015</v>
          </cell>
          <cell r="Z922">
            <v>29.56958303431608</v>
          </cell>
        </row>
        <row r="923">
          <cell r="G923">
            <v>217511</v>
          </cell>
          <cell r="H923">
            <v>32.953439193388654</v>
          </cell>
          <cell r="I923">
            <v>0.04620791214036711</v>
          </cell>
          <cell r="J923">
            <v>0.5038714213278299</v>
          </cell>
          <cell r="K923">
            <v>0.12742142857142857</v>
          </cell>
          <cell r="L923">
            <v>0.11505348214285714</v>
          </cell>
          <cell r="M923">
            <v>0.7925542441824828</v>
          </cell>
          <cell r="O923">
            <v>0.2201363808908206</v>
          </cell>
          <cell r="P923">
            <v>5.510318677059164</v>
          </cell>
          <cell r="Q923">
            <v>5.730455057949984</v>
          </cell>
          <cell r="R923">
            <v>0</v>
          </cell>
          <cell r="S923">
            <v>21.50779220779221</v>
          </cell>
          <cell r="T923">
            <v>0.12742142857142857</v>
          </cell>
          <cell r="U923">
            <v>0.11505348214285714</v>
          </cell>
          <cell r="V923">
            <v>21.750267118506496</v>
          </cell>
          <cell r="W923">
            <v>0.055617737834521654</v>
          </cell>
          <cell r="X923">
            <v>0.8869414871943762</v>
          </cell>
          <cell r="Y923">
            <v>0.09742285239149731</v>
          </cell>
          <cell r="Z923">
            <v>29.31325849805936</v>
          </cell>
        </row>
        <row r="924">
          <cell r="G924">
            <v>217521</v>
          </cell>
          <cell r="H924">
            <v>42.81075469001813</v>
          </cell>
          <cell r="I924">
            <v>0.08117157111937748</v>
          </cell>
          <cell r="J924">
            <v>0.5786421663666775</v>
          </cell>
          <cell r="K924">
            <v>0.12742142857142857</v>
          </cell>
          <cell r="L924">
            <v>0.11505348214285714</v>
          </cell>
          <cell r="M924">
            <v>0.9022886482003407</v>
          </cell>
          <cell r="O924">
            <v>0.2201363808908206</v>
          </cell>
          <cell r="P924">
            <v>6.455416300085756</v>
          </cell>
          <cell r="Q924">
            <v>6.675552680976576</v>
          </cell>
          <cell r="R924">
            <v>0</v>
          </cell>
          <cell r="S924">
            <v>22.60739299610895</v>
          </cell>
          <cell r="T924">
            <v>0.12742142857142857</v>
          </cell>
          <cell r="U924">
            <v>0.11505348214285714</v>
          </cell>
          <cell r="V924">
            <v>22.849867906823235</v>
          </cell>
          <cell r="W924">
            <v>0.07225459281728466</v>
          </cell>
          <cell r="X924">
            <v>1.0471181671803733</v>
          </cell>
          <cell r="Y924">
            <v>0.11151840023026505</v>
          </cell>
          <cell r="Z924">
            <v>31.65860039622807</v>
          </cell>
        </row>
        <row r="925">
          <cell r="G925">
            <v>217531</v>
          </cell>
          <cell r="H925">
            <v>42.81075469001813</v>
          </cell>
          <cell r="I925">
            <v>0.08117157111937748</v>
          </cell>
          <cell r="J925">
            <v>0.5786421663666775</v>
          </cell>
          <cell r="K925">
            <v>0.12742142857142857</v>
          </cell>
          <cell r="L925">
            <v>0.11505348214285714</v>
          </cell>
          <cell r="M925">
            <v>0.9022886482003407</v>
          </cell>
          <cell r="N925">
            <v>0.5889788635977029</v>
          </cell>
          <cell r="O925">
            <v>0.2201363808908206</v>
          </cell>
          <cell r="P925">
            <v>6.455416300085756</v>
          </cell>
          <cell r="Q925">
            <v>6.675552680976576</v>
          </cell>
          <cell r="R925">
            <v>0</v>
          </cell>
          <cell r="S925">
            <v>22.60739299610895</v>
          </cell>
          <cell r="T925">
            <v>0.12742142857142857</v>
          </cell>
          <cell r="U925">
            <v>0.11505348214285714</v>
          </cell>
          <cell r="V925">
            <v>22.849867906823235</v>
          </cell>
          <cell r="W925">
            <v>0.07225459281728466</v>
          </cell>
          <cell r="X925">
            <v>1.0088604780231585</v>
          </cell>
          <cell r="Y925">
            <v>0.10815172358443015</v>
          </cell>
          <cell r="Z925">
            <v>31.616976030425025</v>
          </cell>
        </row>
        <row r="926">
          <cell r="G926">
            <v>218811</v>
          </cell>
          <cell r="H926">
            <v>32.953439193388654</v>
          </cell>
          <cell r="I926">
            <v>0.04620791214036711</v>
          </cell>
          <cell r="J926">
            <v>0.5038714213278299</v>
          </cell>
          <cell r="K926">
            <v>0.12742142857142857</v>
          </cell>
          <cell r="L926">
            <v>0.11505348214285714</v>
          </cell>
          <cell r="M926">
            <v>0.7925542441824828</v>
          </cell>
          <cell r="O926">
            <v>0.2201363808908206</v>
          </cell>
          <cell r="P926">
            <v>5.510318677059164</v>
          </cell>
          <cell r="Q926">
            <v>5.730455057949984</v>
          </cell>
          <cell r="R926">
            <v>0</v>
          </cell>
          <cell r="S926">
            <v>22.99</v>
          </cell>
          <cell r="T926">
            <v>0.12742142857142857</v>
          </cell>
          <cell r="U926">
            <v>0.11505348214285714</v>
          </cell>
          <cell r="V926">
            <v>23.232474910714284</v>
          </cell>
          <cell r="W926">
            <v>0.055617737834521654</v>
          </cell>
          <cell r="X926">
            <v>0.8869414871943762</v>
          </cell>
          <cell r="Y926">
            <v>0.09742285239149731</v>
          </cell>
          <cell r="Z926">
            <v>30.795466290267147</v>
          </cell>
        </row>
        <row r="927">
          <cell r="G927">
            <v>218821</v>
          </cell>
          <cell r="H927">
            <v>42.81075469001813</v>
          </cell>
          <cell r="I927">
            <v>0.08117157111937748</v>
          </cell>
          <cell r="J927">
            <v>0.5786421663666775</v>
          </cell>
          <cell r="K927">
            <v>0.12742142857142857</v>
          </cell>
          <cell r="L927">
            <v>0.11505348214285714</v>
          </cell>
          <cell r="M927">
            <v>0.9022886482003407</v>
          </cell>
          <cell r="O927">
            <v>0.2201363808908206</v>
          </cell>
          <cell r="P927">
            <v>6.455416300085756</v>
          </cell>
          <cell r="Q927">
            <v>6.675552680976576</v>
          </cell>
          <cell r="R927">
            <v>0</v>
          </cell>
          <cell r="S927">
            <v>22.99</v>
          </cell>
          <cell r="T927">
            <v>0.12742142857142857</v>
          </cell>
          <cell r="U927">
            <v>0.11505348214285714</v>
          </cell>
          <cell r="V927">
            <v>23.232474910714284</v>
          </cell>
          <cell r="W927">
            <v>0.07225459281728466</v>
          </cell>
          <cell r="X927">
            <v>1.0471181671803733</v>
          </cell>
          <cell r="Y927">
            <v>0.11151840023026505</v>
          </cell>
          <cell r="Z927">
            <v>32.04120740011913</v>
          </cell>
        </row>
        <row r="928">
          <cell r="G928">
            <v>218831</v>
          </cell>
          <cell r="H928">
            <v>42.81075469001813</v>
          </cell>
          <cell r="I928">
            <v>0.08117157111937748</v>
          </cell>
          <cell r="J928">
            <v>0.5786421663666775</v>
          </cell>
          <cell r="K928">
            <v>0.12742142857142857</v>
          </cell>
          <cell r="L928">
            <v>0.11505348214285714</v>
          </cell>
          <cell r="M928">
            <v>0.9022886482003407</v>
          </cell>
          <cell r="N928">
            <v>0.5889788635977029</v>
          </cell>
          <cell r="O928">
            <v>0.2201363808908206</v>
          </cell>
          <cell r="P928">
            <v>6.455416300085756</v>
          </cell>
          <cell r="Q928">
            <v>6.675552680976576</v>
          </cell>
          <cell r="R928">
            <v>0</v>
          </cell>
          <cell r="S928">
            <v>22.99</v>
          </cell>
          <cell r="T928">
            <v>0.12742142857142857</v>
          </cell>
          <cell r="U928">
            <v>0.11505348214285714</v>
          </cell>
          <cell r="V928">
            <v>23.232474910714284</v>
          </cell>
          <cell r="W928">
            <v>0.07225459281728466</v>
          </cell>
          <cell r="X928">
            <v>1.0088604780231585</v>
          </cell>
          <cell r="Y928">
            <v>0.10815172358443015</v>
          </cell>
          <cell r="Z928">
            <v>31.99958303431608</v>
          </cell>
        </row>
        <row r="929">
          <cell r="G929">
            <v>218911</v>
          </cell>
          <cell r="H929">
            <v>32.953439193388654</v>
          </cell>
          <cell r="I929">
            <v>0.04620791214036711</v>
          </cell>
          <cell r="J929">
            <v>0.5038714213278299</v>
          </cell>
          <cell r="K929">
            <v>0.12742142857142857</v>
          </cell>
          <cell r="L929">
            <v>0.11505348214285714</v>
          </cell>
          <cell r="M929">
            <v>0.7925542441824828</v>
          </cell>
          <cell r="O929">
            <v>0.2201363808908206</v>
          </cell>
          <cell r="P929">
            <v>5.510318677059164</v>
          </cell>
          <cell r="Q929">
            <v>5.730455057949984</v>
          </cell>
          <cell r="R929">
            <v>0</v>
          </cell>
          <cell r="S929">
            <v>19.649999999999995</v>
          </cell>
          <cell r="T929">
            <v>0.12742142857142857</v>
          </cell>
          <cell r="U929">
            <v>0.11505348214285714</v>
          </cell>
          <cell r="V929">
            <v>19.89247491071428</v>
          </cell>
          <cell r="W929">
            <v>0.055617737834521654</v>
          </cell>
          <cell r="X929">
            <v>0.8869414871943762</v>
          </cell>
          <cell r="Y929">
            <v>0.09742285239149731</v>
          </cell>
          <cell r="Z929">
            <v>27.455466290267143</v>
          </cell>
        </row>
        <row r="930">
          <cell r="G930">
            <v>218921</v>
          </cell>
          <cell r="H930">
            <v>42.81075469001813</v>
          </cell>
          <cell r="I930">
            <v>0.08117157111937748</v>
          </cell>
          <cell r="J930">
            <v>0.5786421663666775</v>
          </cell>
          <cell r="K930">
            <v>0.12742142857142857</v>
          </cell>
          <cell r="L930">
            <v>0.11505348214285714</v>
          </cell>
          <cell r="M930">
            <v>0.9022886482003407</v>
          </cell>
          <cell r="O930">
            <v>0.2201363808908206</v>
          </cell>
          <cell r="P930">
            <v>6.455416300085756</v>
          </cell>
          <cell r="Q930">
            <v>6.675552680976576</v>
          </cell>
          <cell r="R930">
            <v>0</v>
          </cell>
          <cell r="S930">
            <v>19.65</v>
          </cell>
          <cell r="T930">
            <v>0.12742142857142857</v>
          </cell>
          <cell r="U930">
            <v>0.11505348214285714</v>
          </cell>
          <cell r="V930">
            <v>19.892474910714284</v>
          </cell>
          <cell r="W930">
            <v>0.07225459281728466</v>
          </cell>
          <cell r="X930">
            <v>1.0471181671803733</v>
          </cell>
          <cell r="Y930">
            <v>0.11151840023026505</v>
          </cell>
          <cell r="Z930">
            <v>28.70120740011912</v>
          </cell>
        </row>
        <row r="931">
          <cell r="G931">
            <v>218931</v>
          </cell>
          <cell r="H931">
            <v>42.81075469001813</v>
          </cell>
          <cell r="I931">
            <v>0.08117157111937748</v>
          </cell>
          <cell r="J931">
            <v>0.5786421663666775</v>
          </cell>
          <cell r="K931">
            <v>0.12742142857142857</v>
          </cell>
          <cell r="L931">
            <v>0.11505348214285714</v>
          </cell>
          <cell r="M931">
            <v>0.9022886482003407</v>
          </cell>
          <cell r="N931">
            <v>0.5889788635977029</v>
          </cell>
          <cell r="O931">
            <v>0.2201363808908206</v>
          </cell>
          <cell r="P931">
            <v>6.455416300085756</v>
          </cell>
          <cell r="Q931">
            <v>6.675552680976576</v>
          </cell>
          <cell r="R931">
            <v>0</v>
          </cell>
          <cell r="S931">
            <v>19.65</v>
          </cell>
          <cell r="T931">
            <v>0.12742142857142857</v>
          </cell>
          <cell r="U931">
            <v>0.11505348214285714</v>
          </cell>
          <cell r="V931">
            <v>19.892474910714284</v>
          </cell>
          <cell r="W931">
            <v>0.07225459281728466</v>
          </cell>
          <cell r="X931">
            <v>1.0088604780231585</v>
          </cell>
          <cell r="Y931">
            <v>0.10815172358443015</v>
          </cell>
          <cell r="Z931">
            <v>28.659583034316075</v>
          </cell>
        </row>
        <row r="932">
          <cell r="G932">
            <v>219911</v>
          </cell>
          <cell r="H932">
            <v>32.953439193388654</v>
          </cell>
          <cell r="I932">
            <v>0.04620791214036711</v>
          </cell>
          <cell r="J932">
            <v>0.5038714213278299</v>
          </cell>
          <cell r="K932">
            <v>0.12742142857142857</v>
          </cell>
          <cell r="L932">
            <v>0.11505348214285714</v>
          </cell>
          <cell r="M932">
            <v>0.7925542441824828</v>
          </cell>
          <cell r="O932">
            <v>0.2201363808908206</v>
          </cell>
          <cell r="P932">
            <v>8.582643001853086</v>
          </cell>
          <cell r="Q932">
            <v>8.802779382743907</v>
          </cell>
          <cell r="R932">
            <v>0</v>
          </cell>
          <cell r="S932">
            <v>19.649999999999995</v>
          </cell>
          <cell r="T932">
            <v>0.12742142857142857</v>
          </cell>
          <cell r="U932">
            <v>0.11505348214285714</v>
          </cell>
          <cell r="V932">
            <v>19.89247491071428</v>
          </cell>
          <cell r="W932">
            <v>0.055617737834521654</v>
          </cell>
          <cell r="X932">
            <v>0.8869414871943762</v>
          </cell>
          <cell r="Y932">
            <v>0.09742285239149731</v>
          </cell>
          <cell r="Z932">
            <v>30.527790615061065</v>
          </cell>
        </row>
        <row r="933">
          <cell r="G933">
            <v>219921</v>
          </cell>
          <cell r="H933">
            <v>42.81075469001813</v>
          </cell>
          <cell r="I933">
            <v>0.08117157111937748</v>
          </cell>
          <cell r="J933">
            <v>0.5786421663666775</v>
          </cell>
          <cell r="K933">
            <v>0.12742142857142857</v>
          </cell>
          <cell r="L933">
            <v>0.11505348214285714</v>
          </cell>
          <cell r="M933">
            <v>0.9022886482003407</v>
          </cell>
          <cell r="O933">
            <v>0.2201363808908206</v>
          </cell>
          <cell r="P933">
            <v>10.02262243444521</v>
          </cell>
          <cell r="Q933">
            <v>10.242758815336032</v>
          </cell>
          <cell r="R933">
            <v>0</v>
          </cell>
          <cell r="S933">
            <v>19.65</v>
          </cell>
          <cell r="T933">
            <v>0.12742142857142857</v>
          </cell>
          <cell r="U933">
            <v>0.11505348214285714</v>
          </cell>
          <cell r="V933">
            <v>19.892474910714284</v>
          </cell>
          <cell r="W933">
            <v>0.07225459281728466</v>
          </cell>
          <cell r="X933">
            <v>1.0471181671803733</v>
          </cell>
          <cell r="Y933">
            <v>0.11151840023026505</v>
          </cell>
          <cell r="Z933">
            <v>32.26841353447858</v>
          </cell>
        </row>
        <row r="934">
          <cell r="G934">
            <v>219931</v>
          </cell>
          <cell r="H934">
            <v>42.81075469001813</v>
          </cell>
          <cell r="I934">
            <v>0.08117157111937748</v>
          </cell>
          <cell r="J934">
            <v>0.5786421663666775</v>
          </cell>
          <cell r="K934">
            <v>0.12742142857142857</v>
          </cell>
          <cell r="L934">
            <v>0.11505348214285714</v>
          </cell>
          <cell r="M934">
            <v>0.9022886482003407</v>
          </cell>
          <cell r="N934">
            <v>0.5889788635977029</v>
          </cell>
          <cell r="O934">
            <v>0.2201363808908206</v>
          </cell>
          <cell r="P934">
            <v>10.02262243444521</v>
          </cell>
          <cell r="Q934">
            <v>10.242758815336032</v>
          </cell>
          <cell r="R934">
            <v>0</v>
          </cell>
          <cell r="S934">
            <v>19.65</v>
          </cell>
          <cell r="T934">
            <v>0.12742142857142857</v>
          </cell>
          <cell r="U934">
            <v>0.11505348214285714</v>
          </cell>
          <cell r="V934">
            <v>19.892474910714284</v>
          </cell>
          <cell r="W934">
            <v>0.07225459281728466</v>
          </cell>
          <cell r="X934">
            <v>1.0088604780231585</v>
          </cell>
          <cell r="Y934">
            <v>0.10815172358443015</v>
          </cell>
          <cell r="Z934">
            <v>32.22678916867552</v>
          </cell>
        </row>
        <row r="935">
          <cell r="G935">
            <v>224411</v>
          </cell>
          <cell r="H935">
            <v>26.938365332122803</v>
          </cell>
          <cell r="I935">
            <v>0.10767203553145469</v>
          </cell>
          <cell r="J935">
            <v>0.5896864408073259</v>
          </cell>
          <cell r="K935">
            <v>0.12742142857142857</v>
          </cell>
          <cell r="L935">
            <v>0.11505348214285714</v>
          </cell>
          <cell r="M935">
            <v>0.9398333870530663</v>
          </cell>
          <cell r="O935">
            <v>0.2201363808908206</v>
          </cell>
          <cell r="P935">
            <v>0.720773400546605</v>
          </cell>
          <cell r="Q935">
            <v>0.9409097814374257</v>
          </cell>
          <cell r="R935">
            <v>0</v>
          </cell>
          <cell r="S935">
            <v>20.56</v>
          </cell>
          <cell r="T935">
            <v>0.12742142857142857</v>
          </cell>
          <cell r="U935">
            <v>0.11505348214285714</v>
          </cell>
          <cell r="V935">
            <v>20.802474910714285</v>
          </cell>
          <cell r="W935">
            <v>0.04546569272906612</v>
          </cell>
          <cell r="X935">
            <v>0.8869414871943762</v>
          </cell>
          <cell r="Y935">
            <v>0.09742285239149731</v>
          </cell>
          <cell r="Z935">
            <v>23.713048111519715</v>
          </cell>
        </row>
        <row r="936">
          <cell r="G936">
            <v>224421</v>
          </cell>
          <cell r="H936">
            <v>26.21047515294914</v>
          </cell>
          <cell r="I936">
            <v>0.11550046541917636</v>
          </cell>
          <cell r="J936">
            <v>0.6415033910924338</v>
          </cell>
          <cell r="K936">
            <v>0.12742142857142857</v>
          </cell>
          <cell r="L936">
            <v>0.11505348214285714</v>
          </cell>
          <cell r="M936">
            <v>0.9994787672258959</v>
          </cell>
          <cell r="O936">
            <v>0.2201363808908206</v>
          </cell>
          <cell r="P936">
            <v>0.7551659729107357</v>
          </cell>
          <cell r="Q936">
            <v>0.9753023538015564</v>
          </cell>
          <cell r="R936">
            <v>0</v>
          </cell>
          <cell r="S936">
            <v>20.56</v>
          </cell>
          <cell r="T936">
            <v>0.12742142857142857</v>
          </cell>
          <cell r="U936">
            <v>0.11505348214285714</v>
          </cell>
          <cell r="V936">
            <v>20.802474910714285</v>
          </cell>
          <cell r="W936">
            <v>0.044237183470289695</v>
          </cell>
          <cell r="X936">
            <v>1.0471181671803733</v>
          </cell>
          <cell r="Y936">
            <v>0.11151840023026505</v>
          </cell>
          <cell r="Z936">
            <v>23.98012978262266</v>
          </cell>
        </row>
        <row r="937">
          <cell r="G937">
            <v>224431</v>
          </cell>
          <cell r="H937">
            <v>26.21047515294914</v>
          </cell>
          <cell r="I937">
            <v>0.11550046541917636</v>
          </cell>
          <cell r="J937">
            <v>0.6415033910924338</v>
          </cell>
          <cell r="K937">
            <v>0.12742142857142857</v>
          </cell>
          <cell r="L937">
            <v>0.11505348214285714</v>
          </cell>
          <cell r="M937">
            <v>0.9994787672258959</v>
          </cell>
          <cell r="N937">
            <v>0.5889788635977029</v>
          </cell>
          <cell r="O937">
            <v>0.2201363808908206</v>
          </cell>
          <cell r="P937">
            <v>0.7551659729107357</v>
          </cell>
          <cell r="Q937">
            <v>0.9753023538015564</v>
          </cell>
          <cell r="R937">
            <v>0</v>
          </cell>
          <cell r="S937">
            <v>20.56</v>
          </cell>
          <cell r="T937">
            <v>0.12742142857142857</v>
          </cell>
          <cell r="U937">
            <v>0.11505348214285714</v>
          </cell>
          <cell r="V937">
            <v>20.802474910714285</v>
          </cell>
          <cell r="W937">
            <v>0.044237183470289695</v>
          </cell>
          <cell r="X937">
            <v>1.0088604780231585</v>
          </cell>
          <cell r="Y937">
            <v>0.10815172358443015</v>
          </cell>
          <cell r="Z937">
            <v>23.938505416819616</v>
          </cell>
        </row>
        <row r="938">
          <cell r="G938">
            <v>224511</v>
          </cell>
          <cell r="H938">
            <v>30.816114341907</v>
          </cell>
          <cell r="I938">
            <v>0.10767203553145469</v>
          </cell>
          <cell r="J938">
            <v>0.5896864408073259</v>
          </cell>
          <cell r="K938">
            <v>0.12742142857142857</v>
          </cell>
          <cell r="L938">
            <v>0.11505348214285714</v>
          </cell>
          <cell r="M938">
            <v>0.9398333870530663</v>
          </cell>
          <cell r="O938">
            <v>0.2201363808908206</v>
          </cell>
          <cell r="P938">
            <v>0.720773400546605</v>
          </cell>
          <cell r="Q938">
            <v>0.9409097814374257</v>
          </cell>
          <cell r="R938">
            <v>0</v>
          </cell>
          <cell r="S938">
            <v>23.836777283880085</v>
          </cell>
          <cell r="T938">
            <v>0.12742142857142857</v>
          </cell>
          <cell r="U938">
            <v>0.11505348214285714</v>
          </cell>
          <cell r="V938">
            <v>24.07925219459437</v>
          </cell>
          <cell r="W938">
            <v>0.05201043079262833</v>
          </cell>
          <cell r="X938">
            <v>0.8869414871943762</v>
          </cell>
          <cell r="Y938">
            <v>0.09742285239149731</v>
          </cell>
          <cell r="Z938">
            <v>26.996370133463365</v>
          </cell>
        </row>
        <row r="939">
          <cell r="G939">
            <v>224521</v>
          </cell>
          <cell r="H939">
            <v>30.21047515294914</v>
          </cell>
          <cell r="I939">
            <v>0.11550046541917636</v>
          </cell>
          <cell r="J939">
            <v>0.6415033910924338</v>
          </cell>
          <cell r="K939">
            <v>0.12742142857142857</v>
          </cell>
          <cell r="L939">
            <v>0.11505348214285714</v>
          </cell>
          <cell r="M939">
            <v>0.9994787672258959</v>
          </cell>
          <cell r="O939">
            <v>0.2201363808908206</v>
          </cell>
          <cell r="P939">
            <v>0.7551659729107357</v>
          </cell>
          <cell r="Q939">
            <v>0.9753023538015564</v>
          </cell>
          <cell r="R939">
            <v>0</v>
          </cell>
          <cell r="S939">
            <v>23.77365936000387</v>
          </cell>
          <cell r="T939">
            <v>0.12742142857142857</v>
          </cell>
          <cell r="U939">
            <v>0.11505348214285714</v>
          </cell>
          <cell r="V939">
            <v>24.016134270718155</v>
          </cell>
          <cell r="W939">
            <v>0.05098825276028114</v>
          </cell>
          <cell r="X939">
            <v>1.0471181671803733</v>
          </cell>
          <cell r="Y939">
            <v>0.11151840023026505</v>
          </cell>
          <cell r="Z939">
            <v>27.200540211916522</v>
          </cell>
        </row>
        <row r="940">
          <cell r="G940">
            <v>224531</v>
          </cell>
          <cell r="H940">
            <v>30.21047515294914</v>
          </cell>
          <cell r="I940">
            <v>0.11550046541917636</v>
          </cell>
          <cell r="J940">
            <v>0.6415033910924338</v>
          </cell>
          <cell r="K940">
            <v>0.12742142857142857</v>
          </cell>
          <cell r="L940">
            <v>0.11505348214285714</v>
          </cell>
          <cell r="M940">
            <v>0.9994787672258959</v>
          </cell>
          <cell r="N940">
            <v>0.5889788635977029</v>
          </cell>
          <cell r="O940">
            <v>0.2201363808908206</v>
          </cell>
          <cell r="P940">
            <v>0.7551659729107357</v>
          </cell>
          <cell r="Q940">
            <v>0.9753023538015564</v>
          </cell>
          <cell r="R940">
            <v>0</v>
          </cell>
          <cell r="S940">
            <v>23.77365936000387</v>
          </cell>
          <cell r="T940">
            <v>0.12742142857142857</v>
          </cell>
          <cell r="U940">
            <v>0.11505348214285714</v>
          </cell>
          <cell r="V940">
            <v>24.016134270718155</v>
          </cell>
          <cell r="W940">
            <v>0.05098825276028114</v>
          </cell>
          <cell r="X940">
            <v>1.0088604780231585</v>
          </cell>
          <cell r="Y940">
            <v>0.10815172358443015</v>
          </cell>
          <cell r="Z940">
            <v>27.158915846113477</v>
          </cell>
        </row>
        <row r="941">
          <cell r="G941">
            <v>225611</v>
          </cell>
          <cell r="H941">
            <v>44.44717152055029</v>
          </cell>
          <cell r="I941">
            <v>0.10767203553145469</v>
          </cell>
          <cell r="J941">
            <v>0.5896864408073259</v>
          </cell>
          <cell r="K941">
            <v>0.12742142857142857</v>
          </cell>
          <cell r="L941">
            <v>0.11505348214285714</v>
          </cell>
          <cell r="M941">
            <v>0.9398333870530663</v>
          </cell>
          <cell r="O941">
            <v>0.2201363808908206</v>
          </cell>
          <cell r="P941">
            <v>0.7551659729107357</v>
          </cell>
          <cell r="Q941">
            <v>0.9753023538015564</v>
          </cell>
          <cell r="R941">
            <v>0</v>
          </cell>
          <cell r="S941">
            <v>37.074770079717844</v>
          </cell>
          <cell r="T941">
            <v>0.12742142857142857</v>
          </cell>
          <cell r="U941">
            <v>0.11505348214285714</v>
          </cell>
          <cell r="V941">
            <v>37.31724499043213</v>
          </cell>
          <cell r="W941">
            <v>0.07501648366984237</v>
          </cell>
          <cell r="X941">
            <v>0.8869414871943762</v>
          </cell>
          <cell r="Y941">
            <v>0.09742285239149731</v>
          </cell>
          <cell r="Z941">
            <v>40.29176155454247</v>
          </cell>
        </row>
        <row r="942">
          <cell r="G942">
            <v>225621</v>
          </cell>
          <cell r="H942">
            <v>43.21047515294914</v>
          </cell>
          <cell r="I942">
            <v>0.11550046541917636</v>
          </cell>
          <cell r="J942">
            <v>0.6415033910924338</v>
          </cell>
          <cell r="K942">
            <v>0.12742142857142857</v>
          </cell>
          <cell r="L942">
            <v>0.11505348214285714</v>
          </cell>
          <cell r="M942">
            <v>0.9994787672258959</v>
          </cell>
          <cell r="O942">
            <v>0.2201363808908206</v>
          </cell>
          <cell r="P942">
            <v>0.518773400546605</v>
          </cell>
          <cell r="Q942">
            <v>0.7389097814374257</v>
          </cell>
          <cell r="R942">
            <v>0</v>
          </cell>
          <cell r="S942">
            <v>36.92625731765616</v>
          </cell>
          <cell r="T942">
            <v>0.12742142857142857</v>
          </cell>
          <cell r="U942">
            <v>0.11505348214285714</v>
          </cell>
          <cell r="V942">
            <v>37.168732228370445</v>
          </cell>
          <cell r="W942">
            <v>0.07292922795275333</v>
          </cell>
          <cell r="X942">
            <v>1.0471181671803733</v>
          </cell>
          <cell r="Y942">
            <v>0.11151840023026505</v>
          </cell>
          <cell r="Z942">
            <v>40.138686572397155</v>
          </cell>
        </row>
        <row r="943">
          <cell r="G943">
            <v>225631</v>
          </cell>
          <cell r="H943">
            <v>43.21047515294914</v>
          </cell>
          <cell r="I943">
            <v>0.11550046541917636</v>
          </cell>
          <cell r="J943">
            <v>0.6415033910924338</v>
          </cell>
          <cell r="K943">
            <v>0.12742142857142857</v>
          </cell>
          <cell r="L943">
            <v>0.11505348214285714</v>
          </cell>
          <cell r="M943">
            <v>0.9994787672258959</v>
          </cell>
          <cell r="N943">
            <v>0.5889788635977029</v>
          </cell>
          <cell r="O943">
            <v>0.2201363808908206</v>
          </cell>
          <cell r="P943">
            <v>0.5531659729107357</v>
          </cell>
          <cell r="Q943">
            <v>0.7733023538015562</v>
          </cell>
          <cell r="R943">
            <v>0</v>
          </cell>
          <cell r="S943">
            <v>36.92625731765616</v>
          </cell>
          <cell r="T943">
            <v>0.12742142857142857</v>
          </cell>
          <cell r="U943">
            <v>0.11505348214285714</v>
          </cell>
          <cell r="V943">
            <v>37.168732228370445</v>
          </cell>
          <cell r="W943">
            <v>0.07292922795275333</v>
          </cell>
          <cell r="X943">
            <v>1.0088604780231585</v>
          </cell>
          <cell r="Y943">
            <v>0.10815172358443015</v>
          </cell>
          <cell r="Z943">
            <v>40.131454778958236</v>
          </cell>
        </row>
        <row r="944">
          <cell r="G944">
            <v>225711</v>
          </cell>
          <cell r="H944">
            <v>28.877239837014898</v>
          </cell>
          <cell r="I944">
            <v>0.10767203553145469</v>
          </cell>
          <cell r="J944">
            <v>0.5896864408073259</v>
          </cell>
          <cell r="K944">
            <v>0.12742142857142857</v>
          </cell>
          <cell r="L944">
            <v>0.11505348214285714</v>
          </cell>
          <cell r="M944">
            <v>0.9398333870530663</v>
          </cell>
          <cell r="O944">
            <v>0.2201363808908206</v>
          </cell>
          <cell r="P944">
            <v>0.7551659729107357</v>
          </cell>
          <cell r="Q944">
            <v>0.9753023538015564</v>
          </cell>
          <cell r="R944">
            <v>0</v>
          </cell>
          <cell r="S944">
            <v>21.93</v>
          </cell>
          <cell r="T944">
            <v>0.12742142857142857</v>
          </cell>
          <cell r="U944">
            <v>0.11505348214285714</v>
          </cell>
          <cell r="V944">
            <v>22.172474910714286</v>
          </cell>
          <cell r="W944">
            <v>0.04873806176084722</v>
          </cell>
          <cell r="X944">
            <v>0.8869414871943762</v>
          </cell>
          <cell r="Y944">
            <v>0.09742285239149731</v>
          </cell>
          <cell r="Z944">
            <v>25.12071305291563</v>
          </cell>
        </row>
        <row r="945">
          <cell r="G945">
            <v>225721</v>
          </cell>
          <cell r="H945">
            <v>29.210475152949144</v>
          </cell>
          <cell r="I945">
            <v>0.11550046541917636</v>
          </cell>
          <cell r="J945">
            <v>0.6415033910924338</v>
          </cell>
          <cell r="K945">
            <v>0.12742142857142857</v>
          </cell>
          <cell r="L945">
            <v>0.11505348214285714</v>
          </cell>
          <cell r="M945">
            <v>0.9994787672258959</v>
          </cell>
          <cell r="O945">
            <v>0.2201363808908206</v>
          </cell>
          <cell r="P945">
            <v>0.518773400546605</v>
          </cell>
          <cell r="Q945">
            <v>0.7389097814374257</v>
          </cell>
          <cell r="R945">
            <v>0</v>
          </cell>
          <cell r="S945">
            <v>21.93</v>
          </cell>
          <cell r="T945">
            <v>0.12742142857142857</v>
          </cell>
          <cell r="U945">
            <v>0.11505348214285714</v>
          </cell>
          <cell r="V945">
            <v>22.172474910714286</v>
          </cell>
          <cell r="W945">
            <v>0.04930048543778329</v>
          </cell>
          <cell r="X945">
            <v>1.0471181671803733</v>
          </cell>
          <cell r="Y945">
            <v>0.11151840023026505</v>
          </cell>
          <cell r="Z945">
            <v>25.118800512226027</v>
          </cell>
        </row>
        <row r="946">
          <cell r="G946">
            <v>225731</v>
          </cell>
          <cell r="H946">
            <v>29.210475152949144</v>
          </cell>
          <cell r="I946">
            <v>0.11550046541917636</v>
          </cell>
          <cell r="J946">
            <v>0.6415033910924338</v>
          </cell>
          <cell r="K946">
            <v>0.12742142857142857</v>
          </cell>
          <cell r="L946">
            <v>0.11505348214285714</v>
          </cell>
          <cell r="M946">
            <v>0.9994787672258959</v>
          </cell>
          <cell r="N946">
            <v>0.5889788635977029</v>
          </cell>
          <cell r="O946">
            <v>0.2201363808908206</v>
          </cell>
          <cell r="P946">
            <v>0.5531659729107357</v>
          </cell>
          <cell r="Q946">
            <v>0.7733023538015562</v>
          </cell>
          <cell r="R946">
            <v>0</v>
          </cell>
          <cell r="S946">
            <v>21.93</v>
          </cell>
          <cell r="T946">
            <v>0.12742142857142857</v>
          </cell>
          <cell r="U946">
            <v>0.11505348214285714</v>
          </cell>
          <cell r="V946">
            <v>22.172474910714286</v>
          </cell>
          <cell r="W946">
            <v>0.04930048543778329</v>
          </cell>
          <cell r="X946">
            <v>1.0088604780231585</v>
          </cell>
          <cell r="Y946">
            <v>0.10815172358443015</v>
          </cell>
          <cell r="Z946">
            <v>25.11156871878711</v>
          </cell>
        </row>
        <row r="947">
          <cell r="G947">
            <v>246411</v>
          </cell>
          <cell r="H947">
            <v>26.938365332122803</v>
          </cell>
          <cell r="I947">
            <v>0.10767203553145469</v>
          </cell>
          <cell r="J947">
            <v>0.5896864408073259</v>
          </cell>
          <cell r="K947">
            <v>0.12742142857142857</v>
          </cell>
          <cell r="L947">
            <v>0.11505348214285714</v>
          </cell>
          <cell r="M947">
            <v>0.9398333870530663</v>
          </cell>
          <cell r="O947">
            <v>0.2201363808908206</v>
          </cell>
          <cell r="P947">
            <v>0.720773400546605</v>
          </cell>
          <cell r="Q947">
            <v>0.9409097814374257</v>
          </cell>
          <cell r="R947">
            <v>0</v>
          </cell>
          <cell r="S947">
            <v>20.56</v>
          </cell>
          <cell r="T947">
            <v>0.12742142857142857</v>
          </cell>
          <cell r="U947">
            <v>0.11505348214285714</v>
          </cell>
          <cell r="V947">
            <v>20.802474910714285</v>
          </cell>
          <cell r="W947">
            <v>0.04546569272906612</v>
          </cell>
          <cell r="X947">
            <v>0.8869414871943762</v>
          </cell>
          <cell r="Y947">
            <v>0.09742285239149731</v>
          </cell>
          <cell r="Z947">
            <v>23.713048111519715</v>
          </cell>
        </row>
        <row r="948">
          <cell r="G948">
            <v>246421</v>
          </cell>
          <cell r="H948">
            <v>26.21047515294914</v>
          </cell>
          <cell r="I948">
            <v>0.11550046541917636</v>
          </cell>
          <cell r="J948">
            <v>0.6415033910924338</v>
          </cell>
          <cell r="K948">
            <v>0.12742142857142857</v>
          </cell>
          <cell r="L948">
            <v>0.11505348214285714</v>
          </cell>
          <cell r="M948">
            <v>0.9994787672258959</v>
          </cell>
          <cell r="O948">
            <v>0.2201363808908206</v>
          </cell>
          <cell r="P948">
            <v>0.7551659729107357</v>
          </cell>
          <cell r="Q948">
            <v>0.9753023538015564</v>
          </cell>
          <cell r="R948">
            <v>0</v>
          </cell>
          <cell r="S948">
            <v>20.56</v>
          </cell>
          <cell r="T948">
            <v>0.12742142857142857</v>
          </cell>
          <cell r="U948">
            <v>0.11505348214285714</v>
          </cell>
          <cell r="V948">
            <v>20.802474910714285</v>
          </cell>
          <cell r="W948">
            <v>0.044237183470289695</v>
          </cell>
          <cell r="X948">
            <v>1.0471181671803733</v>
          </cell>
          <cell r="Y948">
            <v>0.11151840023026505</v>
          </cell>
          <cell r="Z948">
            <v>23.98012978262266</v>
          </cell>
        </row>
        <row r="949">
          <cell r="G949">
            <v>246431</v>
          </cell>
          <cell r="H949">
            <v>26.21047515294914</v>
          </cell>
          <cell r="I949">
            <v>0.11550046541917636</v>
          </cell>
          <cell r="J949">
            <v>0.6415033910924338</v>
          </cell>
          <cell r="K949">
            <v>0.12742142857142857</v>
          </cell>
          <cell r="L949">
            <v>0.11505348214285714</v>
          </cell>
          <cell r="M949">
            <v>0.9994787672258959</v>
          </cell>
          <cell r="N949">
            <v>0.5889788635977029</v>
          </cell>
          <cell r="O949">
            <v>0.2201363808908206</v>
          </cell>
          <cell r="P949">
            <v>0.7551659729107357</v>
          </cell>
          <cell r="Q949">
            <v>0.9753023538015564</v>
          </cell>
          <cell r="R949">
            <v>0</v>
          </cell>
          <cell r="S949">
            <v>20.56</v>
          </cell>
          <cell r="T949">
            <v>0.12742142857142857</v>
          </cell>
          <cell r="U949">
            <v>0.11505348214285714</v>
          </cell>
          <cell r="V949">
            <v>20.802474910714285</v>
          </cell>
          <cell r="W949">
            <v>0.044237183470289695</v>
          </cell>
          <cell r="X949">
            <v>1.0088604780231585</v>
          </cell>
          <cell r="Y949">
            <v>0.10815172358443015</v>
          </cell>
          <cell r="Z949">
            <v>23.938505416819616</v>
          </cell>
        </row>
        <row r="950">
          <cell r="G950">
            <v>246511</v>
          </cell>
          <cell r="H950">
            <v>30.816114341907</v>
          </cell>
          <cell r="I950">
            <v>0.10767203553145469</v>
          </cell>
          <cell r="J950">
            <v>0.5896864408073259</v>
          </cell>
          <cell r="K950">
            <v>0.12742142857142857</v>
          </cell>
          <cell r="L950">
            <v>0.11505348214285714</v>
          </cell>
          <cell r="M950">
            <v>0.9398333870530663</v>
          </cell>
          <cell r="O950">
            <v>0.2201363808908206</v>
          </cell>
          <cell r="P950">
            <v>0.720773400546605</v>
          </cell>
          <cell r="Q950">
            <v>0.9409097814374257</v>
          </cell>
          <cell r="R950">
            <v>0</v>
          </cell>
          <cell r="S950">
            <v>23.836777283880085</v>
          </cell>
          <cell r="T950">
            <v>0.12742142857142857</v>
          </cell>
          <cell r="U950">
            <v>0.11505348214285714</v>
          </cell>
          <cell r="V950">
            <v>24.07925219459437</v>
          </cell>
          <cell r="W950">
            <v>0.05201043079262833</v>
          </cell>
          <cell r="X950">
            <v>0.8869414871943762</v>
          </cell>
          <cell r="Y950">
            <v>0.09742285239149731</v>
          </cell>
          <cell r="Z950">
            <v>26.996370133463365</v>
          </cell>
        </row>
        <row r="951">
          <cell r="G951">
            <v>246521</v>
          </cell>
          <cell r="H951">
            <v>30.21047515294914</v>
          </cell>
          <cell r="I951">
            <v>0.11550046541917636</v>
          </cell>
          <cell r="J951">
            <v>0.6415033910924338</v>
          </cell>
          <cell r="K951">
            <v>0.12742142857142857</v>
          </cell>
          <cell r="L951">
            <v>0.11505348214285714</v>
          </cell>
          <cell r="M951">
            <v>0.9994787672258959</v>
          </cell>
          <cell r="O951">
            <v>0.2201363808908206</v>
          </cell>
          <cell r="P951">
            <v>0.7551659729107357</v>
          </cell>
          <cell r="Q951">
            <v>0.9753023538015564</v>
          </cell>
          <cell r="R951">
            <v>0</v>
          </cell>
          <cell r="S951">
            <v>23.77365936000387</v>
          </cell>
          <cell r="T951">
            <v>0.12742142857142857</v>
          </cell>
          <cell r="U951">
            <v>0.11505348214285714</v>
          </cell>
          <cell r="V951">
            <v>24.016134270718155</v>
          </cell>
          <cell r="W951">
            <v>0.05098825276028114</v>
          </cell>
          <cell r="X951">
            <v>1.0471181671803733</v>
          </cell>
          <cell r="Y951">
            <v>0.11151840023026505</v>
          </cell>
          <cell r="Z951">
            <v>27.200540211916522</v>
          </cell>
        </row>
        <row r="952">
          <cell r="G952">
            <v>246531</v>
          </cell>
          <cell r="H952">
            <v>30.21047515294914</v>
          </cell>
          <cell r="I952">
            <v>0.11550046541917636</v>
          </cell>
          <cell r="J952">
            <v>0.6415033910924338</v>
          </cell>
          <cell r="K952">
            <v>0.12742142857142857</v>
          </cell>
          <cell r="L952">
            <v>0.11505348214285714</v>
          </cell>
          <cell r="M952">
            <v>0.9994787672258959</v>
          </cell>
          <cell r="N952">
            <v>0.5889788635977029</v>
          </cell>
          <cell r="O952">
            <v>0.2201363808908206</v>
          </cell>
          <cell r="P952">
            <v>0.7551659729107357</v>
          </cell>
          <cell r="Q952">
            <v>0.9753023538015564</v>
          </cell>
          <cell r="R952">
            <v>0</v>
          </cell>
          <cell r="S952">
            <v>23.77365936000387</v>
          </cell>
          <cell r="T952">
            <v>0.12742142857142857</v>
          </cell>
          <cell r="U952">
            <v>0.11505348214285714</v>
          </cell>
          <cell r="V952">
            <v>24.016134270718155</v>
          </cell>
          <cell r="W952">
            <v>0.05098825276028114</v>
          </cell>
          <cell r="X952">
            <v>1.0088604780231585</v>
          </cell>
          <cell r="Y952">
            <v>0.10815172358443015</v>
          </cell>
          <cell r="Z952">
            <v>27.158915846113477</v>
          </cell>
        </row>
        <row r="953">
          <cell r="G953">
            <v>257411</v>
          </cell>
          <cell r="H953">
            <v>26.938365332122803</v>
          </cell>
          <cell r="I953">
            <v>0.10767203553145469</v>
          </cell>
          <cell r="J953">
            <v>0.5896864408073259</v>
          </cell>
          <cell r="K953">
            <v>0.12742142857142857</v>
          </cell>
          <cell r="L953">
            <v>0.11505348214285714</v>
          </cell>
          <cell r="M953">
            <v>0.9398333870530663</v>
          </cell>
          <cell r="O953">
            <v>0.2201363808908206</v>
          </cell>
          <cell r="P953">
            <v>0.720773400546605</v>
          </cell>
          <cell r="Q953">
            <v>0.9409097814374257</v>
          </cell>
          <cell r="R953">
            <v>0</v>
          </cell>
          <cell r="S953">
            <v>20.56</v>
          </cell>
          <cell r="T953">
            <v>0.12742142857142857</v>
          </cell>
          <cell r="U953">
            <v>0.11505348214285714</v>
          </cell>
          <cell r="V953">
            <v>20.802474910714285</v>
          </cell>
          <cell r="W953">
            <v>0.04546569272906612</v>
          </cell>
          <cell r="X953">
            <v>0.8869414871943762</v>
          </cell>
          <cell r="Y953">
            <v>0.09742285239149731</v>
          </cell>
          <cell r="Z953">
            <v>23.713048111519715</v>
          </cell>
        </row>
        <row r="954">
          <cell r="G954">
            <v>257421</v>
          </cell>
          <cell r="H954">
            <v>26.21047515294914</v>
          </cell>
          <cell r="I954">
            <v>0.11550046541917636</v>
          </cell>
          <cell r="J954">
            <v>0.6415033910924338</v>
          </cell>
          <cell r="K954">
            <v>0.12742142857142857</v>
          </cell>
          <cell r="L954">
            <v>0.11505348214285714</v>
          </cell>
          <cell r="M954">
            <v>0.9994787672258959</v>
          </cell>
          <cell r="O954">
            <v>0.2201363808908206</v>
          </cell>
          <cell r="P954">
            <v>0.7551659729107357</v>
          </cell>
          <cell r="Q954">
            <v>0.9753023538015564</v>
          </cell>
          <cell r="R954">
            <v>0</v>
          </cell>
          <cell r="S954">
            <v>20.56</v>
          </cell>
          <cell r="T954">
            <v>0.12742142857142857</v>
          </cell>
          <cell r="U954">
            <v>0.11505348214285714</v>
          </cell>
          <cell r="V954">
            <v>20.802474910714285</v>
          </cell>
          <cell r="W954">
            <v>0.044237183470289695</v>
          </cell>
          <cell r="X954">
            <v>1.0471181671803733</v>
          </cell>
          <cell r="Y954">
            <v>0.11151840023026505</v>
          </cell>
          <cell r="Z954">
            <v>23.98012978262266</v>
          </cell>
        </row>
        <row r="955">
          <cell r="G955">
            <v>257431</v>
          </cell>
          <cell r="H955">
            <v>26.21047515294914</v>
          </cell>
          <cell r="I955">
            <v>0.11550046541917636</v>
          </cell>
          <cell r="J955">
            <v>0.6415033910924338</v>
          </cell>
          <cell r="K955">
            <v>0.12742142857142857</v>
          </cell>
          <cell r="L955">
            <v>0.11505348214285714</v>
          </cell>
          <cell r="M955">
            <v>0.9994787672258959</v>
          </cell>
          <cell r="N955">
            <v>0.5889788635977029</v>
          </cell>
          <cell r="O955">
            <v>0.2201363808908206</v>
          </cell>
          <cell r="P955">
            <v>0.7551659729107357</v>
          </cell>
          <cell r="Q955">
            <v>0.9753023538015564</v>
          </cell>
          <cell r="R955">
            <v>0</v>
          </cell>
          <cell r="S955">
            <v>20.56</v>
          </cell>
          <cell r="T955">
            <v>0.12742142857142857</v>
          </cell>
          <cell r="U955">
            <v>0.11505348214285714</v>
          </cell>
          <cell r="V955">
            <v>20.802474910714285</v>
          </cell>
          <cell r="W955">
            <v>0.044237183470289695</v>
          </cell>
          <cell r="X955">
            <v>1.0088604780231585</v>
          </cell>
          <cell r="Y955">
            <v>0.10815172358443015</v>
          </cell>
          <cell r="Z955">
            <v>23.938505416819616</v>
          </cell>
        </row>
        <row r="956">
          <cell r="G956">
            <v>257511</v>
          </cell>
          <cell r="H956">
            <v>30.816114341907</v>
          </cell>
          <cell r="I956">
            <v>0.10767203553145469</v>
          </cell>
          <cell r="J956">
            <v>0.5896864408073259</v>
          </cell>
          <cell r="K956">
            <v>0.12742142857142857</v>
          </cell>
          <cell r="L956">
            <v>0.11505348214285714</v>
          </cell>
          <cell r="M956">
            <v>0.9398333870530663</v>
          </cell>
          <cell r="O956">
            <v>0.2201363808908206</v>
          </cell>
          <cell r="P956">
            <v>0.720773400546605</v>
          </cell>
          <cell r="Q956">
            <v>0.9409097814374257</v>
          </cell>
          <cell r="R956">
            <v>0</v>
          </cell>
          <cell r="S956">
            <v>23.836777283880085</v>
          </cell>
          <cell r="T956">
            <v>0.12742142857142857</v>
          </cell>
          <cell r="U956">
            <v>0.11505348214285714</v>
          </cell>
          <cell r="V956">
            <v>24.07925219459437</v>
          </cell>
          <cell r="W956">
            <v>0.05201043079262833</v>
          </cell>
          <cell r="X956">
            <v>0.8869414871943762</v>
          </cell>
          <cell r="Y956">
            <v>0.09742285239149731</v>
          </cell>
          <cell r="Z956">
            <v>26.996370133463365</v>
          </cell>
        </row>
        <row r="957">
          <cell r="G957">
            <v>257521</v>
          </cell>
          <cell r="H957">
            <v>30.21047515294914</v>
          </cell>
          <cell r="I957">
            <v>0.11550046541917636</v>
          </cell>
          <cell r="J957">
            <v>0.6415033910924338</v>
          </cell>
          <cell r="K957">
            <v>0.12742142857142857</v>
          </cell>
          <cell r="L957">
            <v>0.11505348214285714</v>
          </cell>
          <cell r="M957">
            <v>0.9994787672258959</v>
          </cell>
          <cell r="O957">
            <v>0.2201363808908206</v>
          </cell>
          <cell r="P957">
            <v>0.7551659729107357</v>
          </cell>
          <cell r="Q957">
            <v>0.9753023538015564</v>
          </cell>
          <cell r="R957">
            <v>0</v>
          </cell>
          <cell r="S957">
            <v>23.77365936000387</v>
          </cell>
          <cell r="T957">
            <v>0.12742142857142857</v>
          </cell>
          <cell r="U957">
            <v>0.11505348214285714</v>
          </cell>
          <cell r="V957">
            <v>24.016134270718155</v>
          </cell>
          <cell r="W957">
            <v>0.05098825276028114</v>
          </cell>
          <cell r="X957">
            <v>1.0471181671803733</v>
          </cell>
          <cell r="Y957">
            <v>0.11151840023026505</v>
          </cell>
          <cell r="Z957">
            <v>27.200540211916522</v>
          </cell>
        </row>
        <row r="958">
          <cell r="G958">
            <v>257531</v>
          </cell>
          <cell r="H958">
            <v>30.21047515294914</v>
          </cell>
          <cell r="I958">
            <v>0.11550046541917636</v>
          </cell>
          <cell r="J958">
            <v>0.6415033910924338</v>
          </cell>
          <cell r="K958">
            <v>0.12742142857142857</v>
          </cell>
          <cell r="L958">
            <v>0.11505348214285714</v>
          </cell>
          <cell r="M958">
            <v>0.9994787672258959</v>
          </cell>
          <cell r="N958">
            <v>0.5889788635977029</v>
          </cell>
          <cell r="O958">
            <v>0.2201363808908206</v>
          </cell>
          <cell r="P958">
            <v>0.7551659729107357</v>
          </cell>
          <cell r="Q958">
            <v>0.9753023538015564</v>
          </cell>
          <cell r="R958">
            <v>0</v>
          </cell>
          <cell r="S958">
            <v>23.77365936000387</v>
          </cell>
          <cell r="T958">
            <v>0.12742142857142857</v>
          </cell>
          <cell r="U958">
            <v>0.11505348214285714</v>
          </cell>
          <cell r="V958">
            <v>24.016134270718155</v>
          </cell>
          <cell r="W958">
            <v>0.05098825276028114</v>
          </cell>
          <cell r="X958">
            <v>1.0088604780231585</v>
          </cell>
          <cell r="Y958">
            <v>0.10815172358443015</v>
          </cell>
          <cell r="Z958">
            <v>27.158915846113477</v>
          </cell>
        </row>
        <row r="959">
          <cell r="G959">
            <v>268811</v>
          </cell>
          <cell r="H959">
            <v>28.738365332122804</v>
          </cell>
          <cell r="I959">
            <v>0.10767203553145469</v>
          </cell>
          <cell r="J959">
            <v>0.5896864408073259</v>
          </cell>
          <cell r="K959">
            <v>0.12742142857142857</v>
          </cell>
          <cell r="L959">
            <v>0.11505348214285714</v>
          </cell>
          <cell r="M959">
            <v>0.9398333870530663</v>
          </cell>
          <cell r="O959">
            <v>0.2201363808908206</v>
          </cell>
          <cell r="P959">
            <v>0.720773400546605</v>
          </cell>
          <cell r="Q959">
            <v>0.9409097814374257</v>
          </cell>
          <cell r="R959">
            <v>0</v>
          </cell>
          <cell r="S959">
            <v>22.990000000000002</v>
          </cell>
          <cell r="T959">
            <v>0.12742142857142857</v>
          </cell>
          <cell r="U959">
            <v>0.11505348214285714</v>
          </cell>
          <cell r="V959">
            <v>23.232474910714288</v>
          </cell>
          <cell r="W959">
            <v>0.04850367390956227</v>
          </cell>
          <cell r="X959">
            <v>0.8869414871943762</v>
          </cell>
          <cell r="Y959">
            <v>0.09742285239149731</v>
          </cell>
          <cell r="Z959">
            <v>26.146086092700216</v>
          </cell>
        </row>
        <row r="960">
          <cell r="G960">
            <v>268821</v>
          </cell>
          <cell r="H960">
            <v>29.210475152949144</v>
          </cell>
          <cell r="I960">
            <v>0.11550046541917636</v>
          </cell>
          <cell r="J960">
            <v>0.6415033910924338</v>
          </cell>
          <cell r="K960">
            <v>0.12742142857142857</v>
          </cell>
          <cell r="L960">
            <v>0.11505348214285714</v>
          </cell>
          <cell r="M960">
            <v>0.9994787672258959</v>
          </cell>
          <cell r="O960">
            <v>0.2201363808908206</v>
          </cell>
          <cell r="P960">
            <v>0.7551659729107357</v>
          </cell>
          <cell r="Q960">
            <v>0.9753023538015564</v>
          </cell>
          <cell r="R960">
            <v>0</v>
          </cell>
          <cell r="S960">
            <v>22.99</v>
          </cell>
          <cell r="T960">
            <v>0.12742142857142857</v>
          </cell>
          <cell r="U960">
            <v>0.11505348214285714</v>
          </cell>
          <cell r="V960">
            <v>23.232474910714284</v>
          </cell>
          <cell r="W960">
            <v>0.04930048543778329</v>
          </cell>
          <cell r="X960">
            <v>1.0471181671803733</v>
          </cell>
          <cell r="Y960">
            <v>0.11151840023026505</v>
          </cell>
          <cell r="Z960">
            <v>26.415193084590154</v>
          </cell>
        </row>
        <row r="961">
          <cell r="G961">
            <v>268831</v>
          </cell>
          <cell r="H961">
            <v>29.210475152949144</v>
          </cell>
          <cell r="I961">
            <v>0.11550046541917636</v>
          </cell>
          <cell r="J961">
            <v>0.6415033910924338</v>
          </cell>
          <cell r="K961">
            <v>0.12742142857142857</v>
          </cell>
          <cell r="L961">
            <v>0.11505348214285714</v>
          </cell>
          <cell r="M961">
            <v>0.9994787672258959</v>
          </cell>
          <cell r="N961">
            <v>0.5889788635977029</v>
          </cell>
          <cell r="O961">
            <v>0.2201363808908206</v>
          </cell>
          <cell r="P961">
            <v>0.7551659729107357</v>
          </cell>
          <cell r="Q961">
            <v>0.9753023538015564</v>
          </cell>
          <cell r="R961">
            <v>0</v>
          </cell>
          <cell r="S961">
            <v>22.99</v>
          </cell>
          <cell r="T961">
            <v>0.12742142857142857</v>
          </cell>
          <cell r="U961">
            <v>0.11505348214285714</v>
          </cell>
          <cell r="V961">
            <v>23.232474910714284</v>
          </cell>
          <cell r="W961">
            <v>0.04930048543778329</v>
          </cell>
          <cell r="X961">
            <v>1.0088604780231585</v>
          </cell>
          <cell r="Y961">
            <v>0.10815172358443015</v>
          </cell>
          <cell r="Z961">
            <v>26.37356871878711</v>
          </cell>
        </row>
        <row r="962">
          <cell r="G962">
            <v>268911</v>
          </cell>
          <cell r="H962">
            <v>25.964160010344795</v>
          </cell>
          <cell r="I962">
            <v>0.10767203553145469</v>
          </cell>
          <cell r="J962">
            <v>0.5896864408073259</v>
          </cell>
          <cell r="K962">
            <v>0.12742142857142857</v>
          </cell>
          <cell r="L962">
            <v>0.11505348214285714</v>
          </cell>
          <cell r="M962">
            <v>0.9398333870530663</v>
          </cell>
          <cell r="O962">
            <v>0.2201363808908206</v>
          </cell>
          <cell r="P962">
            <v>0.720773400546605</v>
          </cell>
          <cell r="Q962">
            <v>0.9409097814374257</v>
          </cell>
          <cell r="R962">
            <v>0</v>
          </cell>
          <cell r="S962">
            <v>19.65</v>
          </cell>
          <cell r="T962">
            <v>0.12742142857142857</v>
          </cell>
          <cell r="U962">
            <v>0.11505348214285714</v>
          </cell>
          <cell r="V962">
            <v>19.892474910714284</v>
          </cell>
          <cell r="W962">
            <v>0.04382146082156568</v>
          </cell>
          <cell r="X962">
            <v>0.8869414871943762</v>
          </cell>
          <cell r="Y962">
            <v>0.09742285239149731</v>
          </cell>
          <cell r="Z962">
            <v>22.801403879612216</v>
          </cell>
        </row>
        <row r="963">
          <cell r="G963">
            <v>268921</v>
          </cell>
          <cell r="H963">
            <v>25.210475152949144</v>
          </cell>
          <cell r="I963">
            <v>0.11550046541917636</v>
          </cell>
          <cell r="J963">
            <v>0.6415033910924338</v>
          </cell>
          <cell r="K963">
            <v>0.12742142857142857</v>
          </cell>
          <cell r="L963">
            <v>0.11505348214285714</v>
          </cell>
          <cell r="M963">
            <v>0.9994787672258959</v>
          </cell>
          <cell r="O963">
            <v>0.2201363808908206</v>
          </cell>
          <cell r="P963">
            <v>0.7551659729107357</v>
          </cell>
          <cell r="Q963">
            <v>0.9753023538015564</v>
          </cell>
          <cell r="R963">
            <v>0</v>
          </cell>
          <cell r="S963">
            <v>19.65</v>
          </cell>
          <cell r="T963">
            <v>0.12742142857142857</v>
          </cell>
          <cell r="U963">
            <v>0.11505348214285714</v>
          </cell>
          <cell r="V963">
            <v>19.892474910714284</v>
          </cell>
          <cell r="W963">
            <v>0.04254941614779184</v>
          </cell>
          <cell r="X963">
            <v>1.0471181671803733</v>
          </cell>
          <cell r="Y963">
            <v>0.11151840023026505</v>
          </cell>
          <cell r="Z963">
            <v>23.068442015300164</v>
          </cell>
        </row>
        <row r="964">
          <cell r="G964">
            <v>268931</v>
          </cell>
          <cell r="H964">
            <v>25.210475152949144</v>
          </cell>
          <cell r="I964">
            <v>0.11550046541917636</v>
          </cell>
          <cell r="J964">
            <v>0.6415033910924338</v>
          </cell>
          <cell r="K964">
            <v>0.12742142857142857</v>
          </cell>
          <cell r="L964">
            <v>0.11505348214285714</v>
          </cell>
          <cell r="M964">
            <v>0.9994787672258959</v>
          </cell>
          <cell r="N964">
            <v>0.5889788635977029</v>
          </cell>
          <cell r="O964">
            <v>0.2201363808908206</v>
          </cell>
          <cell r="P964">
            <v>0.7551659729107357</v>
          </cell>
          <cell r="Q964">
            <v>0.9753023538015564</v>
          </cell>
          <cell r="R964">
            <v>0</v>
          </cell>
          <cell r="S964">
            <v>19.65</v>
          </cell>
          <cell r="T964">
            <v>0.12742142857142857</v>
          </cell>
          <cell r="U964">
            <v>0.11505348214285714</v>
          </cell>
          <cell r="V964">
            <v>19.892474910714284</v>
          </cell>
          <cell r="W964">
            <v>0.04254941614779184</v>
          </cell>
          <cell r="X964">
            <v>1.0088604780231585</v>
          </cell>
          <cell r="Y964">
            <v>0.10815172358443015</v>
          </cell>
          <cell r="Z964">
            <v>23.02681764949712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.7109375" style="2" customWidth="1"/>
    <col min="3" max="9" width="11.421875" style="2" customWidth="1"/>
    <col min="10" max="10" width="11.57421875" style="2" customWidth="1"/>
    <col min="11" max="11" width="11.421875" style="2" customWidth="1"/>
    <col min="12" max="12" width="11.57421875" style="2" customWidth="1"/>
    <col min="13" max="16384" width="11.421875" style="2" customWidth="1"/>
  </cols>
  <sheetData>
    <row r="1" ht="18" customHeight="1"/>
    <row r="2" ht="11.25">
      <c r="G2" s="6"/>
    </row>
    <row r="3" ht="11.25">
      <c r="G3" s="6"/>
    </row>
    <row r="4" ht="11.25">
      <c r="G4" s="6"/>
    </row>
    <row r="5" ht="11.25">
      <c r="G5" s="6"/>
    </row>
    <row r="6" ht="11.25">
      <c r="G6" s="6"/>
    </row>
    <row r="7" ht="11.25">
      <c r="G7" s="6"/>
    </row>
    <row r="8" ht="11.25">
      <c r="G8" s="6"/>
    </row>
    <row r="10" ht="10.5" customHeight="1"/>
    <row r="19" spans="1:2" ht="11.25">
      <c r="A19" s="21"/>
      <c r="B19" s="21"/>
    </row>
    <row r="32" ht="12" customHeight="1"/>
    <row r="36" ht="12" customHeight="1"/>
    <row r="37" ht="12" customHeight="1"/>
    <row r="39" spans="3:10" ht="11.25">
      <c r="C39" s="21" t="s">
        <v>87</v>
      </c>
      <c r="J39" s="277" t="s">
        <v>248</v>
      </c>
    </row>
    <row r="40" spans="3:10" ht="11.25">
      <c r="C40" s="80" t="s">
        <v>88</v>
      </c>
      <c r="J40" s="278"/>
    </row>
    <row r="41" spans="5:10" ht="11.25">
      <c r="E41" s="21"/>
      <c r="F41" s="21"/>
      <c r="J41" s="279" t="s">
        <v>168</v>
      </c>
    </row>
    <row r="42" spans="3:10" ht="11.25">
      <c r="C42" s="185" t="s">
        <v>72</v>
      </c>
      <c r="D42" s="21"/>
      <c r="E42" s="21"/>
      <c r="F42" s="21"/>
      <c r="J42" s="279" t="s">
        <v>169</v>
      </c>
    </row>
    <row r="43" spans="3:10" ht="11.25">
      <c r="C43" s="80"/>
      <c r="D43" s="21"/>
      <c r="E43" s="6"/>
      <c r="F43" s="6"/>
      <c r="J43" s="279" t="s">
        <v>170</v>
      </c>
    </row>
    <row r="44" spans="3:10" ht="11.25">
      <c r="C44" s="21" t="s">
        <v>83</v>
      </c>
      <c r="D44" s="6" t="s">
        <v>84</v>
      </c>
      <c r="E44" s="6"/>
      <c r="F44" s="6"/>
      <c r="J44" s="279" t="s">
        <v>171</v>
      </c>
    </row>
    <row r="45" spans="3:10" ht="11.25">
      <c r="C45" s="21" t="s">
        <v>44</v>
      </c>
      <c r="D45" s="6" t="s">
        <v>79</v>
      </c>
      <c r="E45" s="6"/>
      <c r="F45" s="6"/>
      <c r="J45" s="279" t="s">
        <v>172</v>
      </c>
    </row>
    <row r="46" spans="3:10" ht="11.25">
      <c r="C46" s="21" t="s">
        <v>242</v>
      </c>
      <c r="D46" s="6" t="s">
        <v>26</v>
      </c>
      <c r="E46" s="6"/>
      <c r="F46" s="6"/>
      <c r="G46" s="6"/>
      <c r="J46" s="279" t="s">
        <v>159</v>
      </c>
    </row>
    <row r="47" spans="3:10" ht="11.25">
      <c r="C47" s="21" t="s">
        <v>55</v>
      </c>
      <c r="D47" s="6" t="s">
        <v>82</v>
      </c>
      <c r="E47" s="6"/>
      <c r="F47" s="6"/>
      <c r="G47" s="6"/>
      <c r="J47" s="279" t="s">
        <v>122</v>
      </c>
    </row>
    <row r="48" spans="3:10" ht="11.25">
      <c r="C48" s="21" t="s">
        <v>77</v>
      </c>
      <c r="D48" s="6" t="s">
        <v>78</v>
      </c>
      <c r="E48" s="6"/>
      <c r="F48" s="6"/>
      <c r="G48" s="6"/>
      <c r="J48" s="279" t="s">
        <v>63</v>
      </c>
    </row>
    <row r="49" spans="3:10" ht="11.25">
      <c r="C49" s="21" t="s">
        <v>85</v>
      </c>
      <c r="D49" s="6" t="s">
        <v>86</v>
      </c>
      <c r="E49" s="6"/>
      <c r="F49" s="6"/>
      <c r="G49" s="6"/>
      <c r="J49" s="279" t="s">
        <v>173</v>
      </c>
    </row>
    <row r="50" spans="3:7" ht="11.25">
      <c r="C50" s="21" t="s">
        <v>54</v>
      </c>
      <c r="D50" s="6" t="s">
        <v>81</v>
      </c>
      <c r="E50" s="6"/>
      <c r="F50" s="6"/>
      <c r="G50" s="6"/>
    </row>
    <row r="51" spans="3:7" ht="11.25">
      <c r="C51" s="21" t="s">
        <v>174</v>
      </c>
      <c r="D51" s="6" t="s">
        <v>175</v>
      </c>
      <c r="E51" s="6"/>
      <c r="F51" s="6"/>
      <c r="G51" s="6"/>
    </row>
    <row r="52" spans="3:7" ht="11.25">
      <c r="C52" s="21" t="s">
        <v>51</v>
      </c>
      <c r="D52" s="6" t="s">
        <v>80</v>
      </c>
      <c r="E52" s="6"/>
      <c r="F52" s="6"/>
      <c r="G52" s="6"/>
    </row>
    <row r="53" spans="3:7" ht="11.25">
      <c r="C53" s="21" t="s">
        <v>75</v>
      </c>
      <c r="D53" s="6" t="s">
        <v>76</v>
      </c>
      <c r="E53" s="6"/>
      <c r="F53" s="6"/>
      <c r="G53" s="6"/>
    </row>
    <row r="54" spans="3:7" ht="11.25">
      <c r="C54" s="21" t="s">
        <v>28</v>
      </c>
      <c r="D54" s="6" t="s">
        <v>73</v>
      </c>
      <c r="E54" s="6"/>
      <c r="F54" s="6"/>
      <c r="G54" s="6"/>
    </row>
    <row r="55" spans="3:7" ht="11.25">
      <c r="C55" s="21" t="s">
        <v>29</v>
      </c>
      <c r="D55" s="6" t="s">
        <v>74</v>
      </c>
      <c r="E55" s="6"/>
      <c r="F55" s="6"/>
      <c r="G55" s="6"/>
    </row>
    <row r="56" spans="4:6" ht="11.25">
      <c r="D56" s="6"/>
      <c r="E56" s="6"/>
      <c r="F56" s="6"/>
    </row>
    <row r="57" spans="5:6" ht="11.25">
      <c r="E57" s="81"/>
      <c r="F57" s="81"/>
    </row>
    <row r="60" ht="11.25">
      <c r="C60" s="129"/>
    </row>
    <row r="62" ht="11.25">
      <c r="C62" s="129"/>
    </row>
    <row r="63" ht="11.25">
      <c r="C63" s="129"/>
    </row>
  </sheetData>
  <sheetProtection sheet="1" objects="1" scenarios="1"/>
  <hyperlinks>
    <hyperlink ref="J41" location="'Profils d''appel'!A1" display="Profils d'appels"/>
    <hyperlink ref="J42" location="'Profils d''appel'!A1" display="Tarif de détail FT"/>
    <hyperlink ref="J43" location="Recettes!A1" display="Recettes"/>
    <hyperlink ref="J44" location="'Tarifs d''interconnexion'!A1" display="Tarifs d'interconnexion"/>
    <hyperlink ref="J45" location="'Hypothèses coûts'!A1" display="Hypothèses coûts"/>
    <hyperlink ref="J46" location="'Coût collecte'!A1" display="Collecte"/>
    <hyperlink ref="J47" location="'Coût transport'!A1" display="Transport"/>
    <hyperlink ref="J48" location="'Coût terminaison'!A1" display="Terminaison"/>
    <hyperlink ref="J49" location="Restitution!A1" display="Restitution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B1:BY66"/>
  <sheetViews>
    <sheetView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.7109375" style="6" customWidth="1"/>
    <col min="2" max="2" width="21.8515625" style="6" customWidth="1"/>
    <col min="3" max="3" width="1.7109375" style="21" customWidth="1"/>
    <col min="4" max="4" width="20.421875" style="6" customWidth="1"/>
    <col min="5" max="5" width="7.8515625" style="308" customWidth="1"/>
    <col min="6" max="8" width="11.421875" style="6" customWidth="1"/>
    <col min="9" max="9" width="1.7109375" style="6" customWidth="1"/>
    <col min="10" max="12" width="11.421875" style="6" customWidth="1"/>
    <col min="13" max="13" width="1.7109375" style="6" customWidth="1"/>
    <col min="14" max="16" width="11.421875" style="6" customWidth="1"/>
    <col min="17" max="17" width="1.7109375" style="6" customWidth="1"/>
    <col min="18" max="20" width="11.421875" style="6" customWidth="1"/>
    <col min="21" max="21" width="1.7109375" style="6" customWidth="1"/>
    <col min="22" max="16384" width="11.421875" style="6" customWidth="1"/>
  </cols>
  <sheetData>
    <row r="1" spans="2:4" ht="18" customHeight="1">
      <c r="B1" s="21"/>
      <c r="D1" s="21"/>
    </row>
    <row r="3" spans="3:24" s="84" customFormat="1" ht="11.25">
      <c r="C3" s="21"/>
      <c r="E3" s="308"/>
      <c r="F3" s="336" t="s">
        <v>30</v>
      </c>
      <c r="G3" s="337"/>
      <c r="H3" s="337"/>
      <c r="I3" s="6"/>
      <c r="J3" s="336" t="s">
        <v>31</v>
      </c>
      <c r="K3" s="337"/>
      <c r="L3" s="337"/>
      <c r="M3" s="6"/>
      <c r="N3" s="336" t="s">
        <v>147</v>
      </c>
      <c r="O3" s="337"/>
      <c r="P3" s="337"/>
      <c r="Q3" s="6"/>
      <c r="R3" s="336" t="s">
        <v>148</v>
      </c>
      <c r="S3" s="337"/>
      <c r="T3" s="337"/>
      <c r="U3" s="6"/>
      <c r="V3" s="336" t="s">
        <v>149</v>
      </c>
      <c r="W3" s="337"/>
      <c r="X3" s="337"/>
    </row>
    <row r="4" spans="2:24" ht="39.75" customHeight="1">
      <c r="B4" s="6" t="s">
        <v>270</v>
      </c>
      <c r="D4" s="191">
        <v>1</v>
      </c>
      <c r="F4" s="140" t="s">
        <v>11</v>
      </c>
      <c r="G4" s="219" t="s">
        <v>163</v>
      </c>
      <c r="H4" s="219" t="s">
        <v>164</v>
      </c>
      <c r="J4" s="140" t="s">
        <v>11</v>
      </c>
      <c r="K4" s="219" t="s">
        <v>163</v>
      </c>
      <c r="L4" s="219" t="s">
        <v>164</v>
      </c>
      <c r="N4" s="140" t="s">
        <v>11</v>
      </c>
      <c r="O4" s="219" t="s">
        <v>163</v>
      </c>
      <c r="P4" s="219" t="s">
        <v>164</v>
      </c>
      <c r="R4" s="140" t="s">
        <v>11</v>
      </c>
      <c r="S4" s="219" t="s">
        <v>163</v>
      </c>
      <c r="T4" s="219" t="s">
        <v>164</v>
      </c>
      <c r="V4" s="140" t="s">
        <v>11</v>
      </c>
      <c r="W4" s="219" t="s">
        <v>163</v>
      </c>
      <c r="X4" s="219" t="s">
        <v>164</v>
      </c>
    </row>
    <row r="5" spans="4:24" ht="16.5" customHeight="1">
      <c r="D5" s="191"/>
      <c r="F5" s="141"/>
      <c r="G5" s="205"/>
      <c r="H5" s="205"/>
      <c r="J5" s="141"/>
      <c r="K5" s="205"/>
      <c r="L5" s="205"/>
      <c r="N5" s="141"/>
      <c r="O5" s="205"/>
      <c r="P5" s="205"/>
      <c r="R5" s="141"/>
      <c r="S5" s="205"/>
      <c r="T5" s="205"/>
      <c r="V5" s="141"/>
      <c r="W5" s="205"/>
      <c r="X5" s="205"/>
    </row>
    <row r="6" spans="2:24" ht="11.25">
      <c r="B6" s="121" t="s">
        <v>244</v>
      </c>
      <c r="D6" s="227">
        <f>VLOOKUP("Recette de base",B6:X6,id)</f>
        <v>18.835714285714285</v>
      </c>
      <c r="E6" s="308">
        <v>5</v>
      </c>
      <c r="F6" s="225">
        <f>Recettes!O12</f>
        <v>3.5496999999999996</v>
      </c>
      <c r="G6" s="226">
        <f>Recettes!O16</f>
        <v>4.8385058823529405</v>
      </c>
      <c r="H6" s="184">
        <f>Recettes!O16</f>
        <v>4.8385058823529405</v>
      </c>
      <c r="J6" s="225">
        <f>Recettes!O23</f>
        <v>5.991771428571429</v>
      </c>
      <c r="K6" s="226">
        <f>Recettes!O27</f>
        <v>8.114904948704318</v>
      </c>
      <c r="L6" s="184">
        <f>Recettes!O27</f>
        <v>8.114904948704318</v>
      </c>
      <c r="N6" s="225">
        <f>Recettes!O34</f>
        <v>16.110714285714284</v>
      </c>
      <c r="O6" s="226">
        <f>Recettes!O38</f>
        <v>16.900000000000002</v>
      </c>
      <c r="P6" s="226">
        <f>Recettes!O38</f>
        <v>16.900000000000002</v>
      </c>
      <c r="R6" s="225">
        <f>Recettes!O34</f>
        <v>16.110714285714284</v>
      </c>
      <c r="S6" s="226">
        <v>15.71142857142857</v>
      </c>
      <c r="T6" s="226">
        <f>Recettes!O38</f>
        <v>16.900000000000002</v>
      </c>
      <c r="V6" s="225">
        <f>Recettes!O45</f>
        <v>18.835714285714285</v>
      </c>
      <c r="W6" s="225">
        <f>Recettes!O49</f>
        <v>19.300000000000004</v>
      </c>
      <c r="X6" s="225">
        <f>Recettes!O49</f>
        <v>19.300000000000004</v>
      </c>
    </row>
    <row r="7" spans="4:24" ht="11.25" customHeight="1">
      <c r="D7" s="209"/>
      <c r="E7" s="308" t="s">
        <v>11</v>
      </c>
      <c r="G7" s="85"/>
      <c r="H7" s="85"/>
      <c r="K7" s="85"/>
      <c r="L7" s="85"/>
      <c r="O7" s="85"/>
      <c r="P7" s="85"/>
      <c r="S7" s="85"/>
      <c r="T7" s="85"/>
      <c r="W7" s="85"/>
      <c r="X7" s="85"/>
    </row>
    <row r="8" spans="2:24" ht="11.25">
      <c r="B8" s="237" t="s">
        <v>130</v>
      </c>
      <c r="D8" s="216"/>
      <c r="E8" s="308" t="s">
        <v>165</v>
      </c>
      <c r="F8" s="217"/>
      <c r="G8" s="218"/>
      <c r="H8" s="218"/>
      <c r="J8" s="217"/>
      <c r="K8" s="218"/>
      <c r="L8" s="218"/>
      <c r="N8" s="217"/>
      <c r="O8" s="218"/>
      <c r="P8" s="218"/>
      <c r="R8" s="217"/>
      <c r="S8" s="218"/>
      <c r="T8" s="218"/>
      <c r="V8" s="217"/>
      <c r="W8" s="218"/>
      <c r="X8" s="218"/>
    </row>
    <row r="9" spans="2:24" ht="11.25">
      <c r="B9" s="76" t="s">
        <v>157</v>
      </c>
      <c r="D9" s="228">
        <f>VLOOKUP("Charge à l'appel",B9:X9,id)</f>
        <v>0.07494642857142857</v>
      </c>
      <c r="E9" s="308" t="s">
        <v>166</v>
      </c>
      <c r="F9" s="68">
        <f>'Coût collecte'!I14</f>
        <v>0.037466375999999996</v>
      </c>
      <c r="G9" s="220">
        <f>'Coût collecte'!L14</f>
        <v>0.06396310588235293</v>
      </c>
      <c r="H9" s="67"/>
      <c r="J9" s="68">
        <f>'Coût collecte'!O14</f>
        <v>0.016996851428571425</v>
      </c>
      <c r="K9" s="220">
        <f>'Coût collecte'!R14</f>
        <v>0.050856479999999996</v>
      </c>
      <c r="L9" s="67"/>
      <c r="N9" s="68">
        <f>'Coût collecte'!U14</f>
        <v>0.07494642857142857</v>
      </c>
      <c r="O9" s="220">
        <f>'Coût collecte'!X14</f>
        <v>0.08479085714285714</v>
      </c>
      <c r="P9" s="67"/>
      <c r="R9" s="68">
        <f>'Coût collecte'!U14</f>
        <v>0.07494642857142857</v>
      </c>
      <c r="S9" s="220">
        <f>'Coût collecte'!X14</f>
        <v>0.08479085714285714</v>
      </c>
      <c r="T9" s="67"/>
      <c r="V9" s="68">
        <f>'Coût collecte'!U14</f>
        <v>0.07494642857142857</v>
      </c>
      <c r="W9" s="220">
        <f>'Coût collecte'!X14</f>
        <v>0.08479085714285714</v>
      </c>
      <c r="X9" s="67"/>
    </row>
    <row r="10" spans="2:24" ht="11.25">
      <c r="B10" s="76" t="s">
        <v>158</v>
      </c>
      <c r="D10" s="229">
        <f>VLOOKUP("Partie à la minute",B10:X10,id)</f>
        <v>0.49341499999999994</v>
      </c>
      <c r="E10" s="308">
        <v>1</v>
      </c>
      <c r="F10" s="206">
        <f>'Coût collecte'!I17</f>
        <v>0.4748034</v>
      </c>
      <c r="G10" s="87">
        <f>'Coût collecte'!L17</f>
        <v>0.5269504</v>
      </c>
      <c r="H10" s="192"/>
      <c r="J10" s="206">
        <f>'Coût collecte'!O17</f>
        <v>0.426554</v>
      </c>
      <c r="K10" s="87">
        <f>'Coût collecte'!R17</f>
        <v>0.5240856</v>
      </c>
      <c r="L10" s="192"/>
      <c r="N10" s="206">
        <f>'Coût collecte'!U17</f>
        <v>0.49341499999999994</v>
      </c>
      <c r="O10" s="87">
        <f>'Coût collecte'!X17</f>
        <v>0.523082</v>
      </c>
      <c r="P10" s="192"/>
      <c r="R10" s="206">
        <f>'Coût collecte'!U17</f>
        <v>0.49341499999999994</v>
      </c>
      <c r="S10" s="87">
        <f>'Coût collecte'!X17</f>
        <v>0.523082</v>
      </c>
      <c r="T10" s="192"/>
      <c r="V10" s="206">
        <f>'Coût collecte'!U17</f>
        <v>0.49341499999999994</v>
      </c>
      <c r="W10" s="87">
        <f>'Coût collecte'!X17</f>
        <v>0.523082</v>
      </c>
      <c r="X10" s="192"/>
    </row>
    <row r="11" spans="2:24" ht="11.25">
      <c r="B11" s="76" t="s">
        <v>83</v>
      </c>
      <c r="D11" s="229">
        <f>VLOOKUP("BPN",B11:X11,id)</f>
        <v>0.08632969696969697</v>
      </c>
      <c r="E11" s="308">
        <f>4*(E6)+E10</f>
        <v>21</v>
      </c>
      <c r="F11" s="206">
        <f>coutBPN</f>
        <v>0.08632969696969697</v>
      </c>
      <c r="G11" s="87">
        <f>coutBPN</f>
        <v>0.08632969696969697</v>
      </c>
      <c r="H11" s="192"/>
      <c r="J11" s="206">
        <f>coutBPN</f>
        <v>0.08632969696969697</v>
      </c>
      <c r="K11" s="87">
        <f>coutBPN</f>
        <v>0.08632969696969697</v>
      </c>
      <c r="L11" s="192"/>
      <c r="N11" s="206">
        <f>coutBPN</f>
        <v>0.08632969696969697</v>
      </c>
      <c r="O11" s="87">
        <f>coutBPN</f>
        <v>0.08632969696969697</v>
      </c>
      <c r="P11" s="192"/>
      <c r="R11" s="206">
        <f>coutBPN</f>
        <v>0.08632969696969697</v>
      </c>
      <c r="S11" s="87">
        <f>coutBPN</f>
        <v>0.08632969696969697</v>
      </c>
      <c r="T11" s="192"/>
      <c r="V11" s="206">
        <f>coutBPN</f>
        <v>0.08632969696969697</v>
      </c>
      <c r="W11" s="87">
        <f>coutBPN</f>
        <v>0.08632969696969697</v>
      </c>
      <c r="X11" s="192"/>
    </row>
    <row r="12" spans="2:24" ht="11.25">
      <c r="B12" s="76" t="s">
        <v>245</v>
      </c>
      <c r="D12" s="229">
        <f>VLOOKUP("LRO",B12:X12,id)</f>
        <v>0.033856792929292924</v>
      </c>
      <c r="F12" s="206">
        <f>coutLRO</f>
        <v>0.033856792929292924</v>
      </c>
      <c r="G12" s="87">
        <f>coutLRO</f>
        <v>0.033856792929292924</v>
      </c>
      <c r="H12" s="192"/>
      <c r="J12" s="206">
        <f>coutLRO</f>
        <v>0.033856792929292924</v>
      </c>
      <c r="K12" s="87">
        <f>coutLRO</f>
        <v>0.033856792929292924</v>
      </c>
      <c r="L12" s="192"/>
      <c r="N12" s="206">
        <f>coutLRO</f>
        <v>0.033856792929292924</v>
      </c>
      <c r="O12" s="87">
        <f>coutLRO</f>
        <v>0.033856792929292924</v>
      </c>
      <c r="P12" s="192"/>
      <c r="R12" s="206">
        <f>coutLRO</f>
        <v>0.033856792929292924</v>
      </c>
      <c r="S12" s="87">
        <f>coutLRO</f>
        <v>0.033856792929292924</v>
      </c>
      <c r="T12" s="192"/>
      <c r="V12" s="206">
        <f>coutLRO</f>
        <v>0.033856792929292924</v>
      </c>
      <c r="W12" s="87">
        <f>coutLRO</f>
        <v>0.033856792929292924</v>
      </c>
      <c r="X12" s="192"/>
    </row>
    <row r="13" spans="2:24" ht="11.25">
      <c r="B13" s="238" t="s">
        <v>159</v>
      </c>
      <c r="D13" s="230">
        <f>VLOOKUP("Collecte",B13:X13,id)</f>
        <v>0.6885479184704183</v>
      </c>
      <c r="F13" s="221">
        <f>SUM(F9:F12)</f>
        <v>0.6324562658989898</v>
      </c>
      <c r="G13" s="222">
        <f>SUM(G9:G12)</f>
        <v>0.7110999957813428</v>
      </c>
      <c r="H13" s="223">
        <f>'Coût collecte'!$F75</f>
        <v>0</v>
      </c>
      <c r="J13" s="221">
        <f>SUM(J9:J12)</f>
        <v>0.5637373413275613</v>
      </c>
      <c r="K13" s="222">
        <f>SUM(K9:K12)</f>
        <v>0.6951285698989899</v>
      </c>
      <c r="L13" s="223">
        <f>'Coût collecte'!$F75</f>
        <v>0</v>
      </c>
      <c r="N13" s="221">
        <f>SUM(N9:N12)</f>
        <v>0.6885479184704183</v>
      </c>
      <c r="O13" s="222">
        <f>SUM(O9:O12)</f>
        <v>0.728059347041847</v>
      </c>
      <c r="P13" s="223">
        <f>'Coût collecte'!$F75</f>
        <v>0</v>
      </c>
      <c r="R13" s="221">
        <f>SUM(R9:R12)</f>
        <v>0.6885479184704183</v>
      </c>
      <c r="S13" s="222">
        <f>SUM(S9:S12)</f>
        <v>0.728059347041847</v>
      </c>
      <c r="T13" s="223">
        <f>'Coût collecte'!$F75</f>
        <v>0</v>
      </c>
      <c r="V13" s="221">
        <f>SUM(V9:V12)</f>
        <v>0.6885479184704183</v>
      </c>
      <c r="W13" s="222">
        <f>SUM(W9:W12)</f>
        <v>0.728059347041847</v>
      </c>
      <c r="X13" s="223">
        <f>'Coût collecte'!$F75</f>
        <v>0</v>
      </c>
    </row>
    <row r="14" spans="4:24" ht="6" customHeight="1">
      <c r="D14" s="210"/>
      <c r="F14" s="87"/>
      <c r="G14" s="87"/>
      <c r="H14" s="87"/>
      <c r="J14" s="87"/>
      <c r="K14" s="87"/>
      <c r="L14" s="87"/>
      <c r="N14" s="87"/>
      <c r="O14" s="87"/>
      <c r="P14" s="87"/>
      <c r="R14" s="87"/>
      <c r="S14" s="87"/>
      <c r="T14" s="87"/>
      <c r="V14" s="87"/>
      <c r="W14" s="87"/>
      <c r="X14" s="87"/>
    </row>
    <row r="15" spans="2:24" ht="11.25">
      <c r="B15" s="75" t="s">
        <v>126</v>
      </c>
      <c r="D15" s="228">
        <f>VLOOKUP("Partie à la minute",B15:X15,id)</f>
        <v>0.125</v>
      </c>
      <c r="F15" s="68">
        <f>'Coût transport'!I5</f>
        <v>0.1</v>
      </c>
      <c r="G15" s="220">
        <f>'Coût transport'!I5</f>
        <v>0.1</v>
      </c>
      <c r="H15" s="67">
        <f>'Coût transport'!I5</f>
        <v>0.1</v>
      </c>
      <c r="J15" s="68">
        <f>'Coût transport'!I6</f>
        <v>0.2</v>
      </c>
      <c r="K15" s="220">
        <f>'Coût transport'!I6</f>
        <v>0.2</v>
      </c>
      <c r="L15" s="67">
        <f>'Coût transport'!I6</f>
        <v>0.2</v>
      </c>
      <c r="N15" s="68">
        <f>'Coût transport'!I9</f>
        <v>0.125</v>
      </c>
      <c r="O15" s="220">
        <f>'Coût transport'!I9</f>
        <v>0.125</v>
      </c>
      <c r="P15" s="67">
        <f>'Coût transport'!I9</f>
        <v>0.125</v>
      </c>
      <c r="R15" s="68">
        <f>'Coût transport'!I9</f>
        <v>0.125</v>
      </c>
      <c r="S15" s="220">
        <f>'Coût transport'!I9</f>
        <v>0.125</v>
      </c>
      <c r="T15" s="67">
        <f>'Coût transport'!I9</f>
        <v>0.125</v>
      </c>
      <c r="V15" s="68">
        <f>'Coût transport'!I9</f>
        <v>0.125</v>
      </c>
      <c r="W15" s="220">
        <f>'Coût transport'!I9</f>
        <v>0.125</v>
      </c>
      <c r="X15" s="67">
        <f>'Coût transport'!I9</f>
        <v>0.125</v>
      </c>
    </row>
    <row r="16" spans="2:24" ht="11.25">
      <c r="B16" s="76" t="s">
        <v>138</v>
      </c>
      <c r="D16" s="229">
        <f>VLOOKUP("Transmission",B16:X16,id)</f>
        <v>0.1698124098124098</v>
      </c>
      <c r="F16" s="206">
        <f>'Coût transport'!I15</f>
        <v>0.16</v>
      </c>
      <c r="G16" s="87">
        <f>'Coût transport'!I15</f>
        <v>0.16</v>
      </c>
      <c r="H16" s="192">
        <f>'Coût transport'!I15</f>
        <v>0.16</v>
      </c>
      <c r="J16" s="206">
        <f>'Coût transport'!I27</f>
        <v>0.19924963924963926</v>
      </c>
      <c r="K16" s="87">
        <f>'Coût transport'!I27</f>
        <v>0.19924963924963926</v>
      </c>
      <c r="L16" s="192">
        <f>'Coût transport'!I27</f>
        <v>0.19924963924963926</v>
      </c>
      <c r="N16" s="206">
        <f>'Coût transport'!I31</f>
        <v>0.1698124098124098</v>
      </c>
      <c r="O16" s="87">
        <f>'Coût transport'!I31</f>
        <v>0.1698124098124098</v>
      </c>
      <c r="P16" s="192">
        <f>'Coût transport'!I31</f>
        <v>0.1698124098124098</v>
      </c>
      <c r="R16" s="206">
        <f>'Coût transport'!I31</f>
        <v>0.1698124098124098</v>
      </c>
      <c r="S16" s="87">
        <f>'Coût transport'!I31</f>
        <v>0.1698124098124098</v>
      </c>
      <c r="T16" s="192">
        <f>'Coût transport'!I31</f>
        <v>0.1698124098124098</v>
      </c>
      <c r="V16" s="206">
        <f>'Coût transport'!I31</f>
        <v>0.1698124098124098</v>
      </c>
      <c r="W16" s="87">
        <f>'Coût transport'!I31</f>
        <v>0.1698124098124098</v>
      </c>
      <c r="X16" s="192">
        <f>'Coût transport'!I31</f>
        <v>0.1698124098124098</v>
      </c>
    </row>
    <row r="17" spans="2:24" ht="11.25">
      <c r="B17" s="238" t="s">
        <v>122</v>
      </c>
      <c r="D17" s="230">
        <f>VLOOKUP("Transport",B17:X17,id)</f>
        <v>0.2948124098124098</v>
      </c>
      <c r="F17" s="221">
        <f aca="true" t="shared" si="0" ref="F17:X17">F15+F16</f>
        <v>0.26</v>
      </c>
      <c r="G17" s="222">
        <f t="shared" si="0"/>
        <v>0.26</v>
      </c>
      <c r="H17" s="223">
        <f t="shared" si="0"/>
        <v>0.26</v>
      </c>
      <c r="J17" s="221">
        <f t="shared" si="0"/>
        <v>0.3992496392496393</v>
      </c>
      <c r="K17" s="222">
        <f t="shared" si="0"/>
        <v>0.3992496392496393</v>
      </c>
      <c r="L17" s="223">
        <f t="shared" si="0"/>
        <v>0.3992496392496393</v>
      </c>
      <c r="N17" s="221">
        <f t="shared" si="0"/>
        <v>0.2948124098124098</v>
      </c>
      <c r="O17" s="222">
        <f t="shared" si="0"/>
        <v>0.2948124098124098</v>
      </c>
      <c r="P17" s="223">
        <f t="shared" si="0"/>
        <v>0.2948124098124098</v>
      </c>
      <c r="R17" s="221">
        <f>R15+R16</f>
        <v>0.2948124098124098</v>
      </c>
      <c r="S17" s="222">
        <f>S15+S16</f>
        <v>0.2948124098124098</v>
      </c>
      <c r="T17" s="223">
        <f>T15+T16</f>
        <v>0.2948124098124098</v>
      </c>
      <c r="V17" s="221">
        <f t="shared" si="0"/>
        <v>0.2948124098124098</v>
      </c>
      <c r="W17" s="222">
        <f t="shared" si="0"/>
        <v>0.2948124098124098</v>
      </c>
      <c r="X17" s="223">
        <f t="shared" si="0"/>
        <v>0.2948124098124098</v>
      </c>
    </row>
    <row r="18" spans="4:24" ht="6" customHeight="1">
      <c r="D18" s="210"/>
      <c r="F18" s="87"/>
      <c r="G18" s="87"/>
      <c r="H18" s="87"/>
      <c r="J18" s="87"/>
      <c r="K18" s="87"/>
      <c r="L18" s="87"/>
      <c r="N18" s="87"/>
      <c r="O18" s="87"/>
      <c r="P18" s="87"/>
      <c r="R18" s="87"/>
      <c r="S18" s="87"/>
      <c r="T18" s="87"/>
      <c r="V18" s="87"/>
      <c r="W18" s="87"/>
      <c r="X18" s="87"/>
    </row>
    <row r="19" spans="2:24" ht="11.25">
      <c r="B19" s="75" t="s">
        <v>83</v>
      </c>
      <c r="D19" s="228">
        <f>VLOOKUP("BPN",B19:X19,id)</f>
        <v>0.13596969696969696</v>
      </c>
      <c r="F19" s="68">
        <f>coutBPN</f>
        <v>0.08632969696969697</v>
      </c>
      <c r="G19" s="220">
        <f>coutBPN</f>
        <v>0.08632969696969697</v>
      </c>
      <c r="H19" s="67">
        <f>coutBPN</f>
        <v>0.08632969696969697</v>
      </c>
      <c r="J19" s="68">
        <f>coutBPN</f>
        <v>0.08632969696969697</v>
      </c>
      <c r="K19" s="220">
        <f>coutBPN</f>
        <v>0.08632969696969697</v>
      </c>
      <c r="L19" s="67">
        <f>coutBPN</f>
        <v>0.08632969696969697</v>
      </c>
      <c r="N19" s="68">
        <f>'Coût terminaison'!G36</f>
        <v>0.08906060606060606</v>
      </c>
      <c r="O19" s="220">
        <f>'Coût terminaison'!G36</f>
        <v>0.08906060606060606</v>
      </c>
      <c r="P19" s="67">
        <f>'Coût terminaison'!G36</f>
        <v>0.08906060606060606</v>
      </c>
      <c r="R19" s="68">
        <f>'Coût terminaison'!G37</f>
        <v>0.08906060606060606</v>
      </c>
      <c r="S19" s="220">
        <f>'Coût terminaison'!G37</f>
        <v>0.08906060606060606</v>
      </c>
      <c r="T19" s="67">
        <f>'Coût terminaison'!G37</f>
        <v>0.08906060606060606</v>
      </c>
      <c r="V19" s="68">
        <f>'Coût terminaison'!G38</f>
        <v>0.13596969696969696</v>
      </c>
      <c r="W19" s="220">
        <f>'Coût terminaison'!G38</f>
        <v>0.13596969696969696</v>
      </c>
      <c r="X19" s="67">
        <f>'Coût terminaison'!G38</f>
        <v>0.13596969696969696</v>
      </c>
    </row>
    <row r="20" spans="2:24" ht="11.25">
      <c r="B20" s="76" t="s">
        <v>245</v>
      </c>
      <c r="D20" s="229">
        <f>VLOOKUP("LRO/Colocalisationl",B20:X20,id)</f>
        <v>0.12626060606060607</v>
      </c>
      <c r="F20" s="206">
        <f aca="true" t="shared" si="1" ref="F20:L20">coutLRO</f>
        <v>0.033856792929292924</v>
      </c>
      <c r="G20" s="87">
        <f t="shared" si="1"/>
        <v>0.033856792929292924</v>
      </c>
      <c r="H20" s="192">
        <f t="shared" si="1"/>
        <v>0.033856792929292924</v>
      </c>
      <c r="J20" s="206">
        <f t="shared" si="1"/>
        <v>0.033856792929292924</v>
      </c>
      <c r="K20" s="87">
        <f t="shared" si="1"/>
        <v>0.033856792929292924</v>
      </c>
      <c r="L20" s="192">
        <f t="shared" si="1"/>
        <v>0.033856792929292924</v>
      </c>
      <c r="N20" s="206">
        <f>'Coût terminaison'!H48</f>
        <v>0.08469393939393939</v>
      </c>
      <c r="O20" s="87">
        <f>'Coût terminaison'!H48</f>
        <v>0.08469393939393939</v>
      </c>
      <c r="P20" s="192">
        <f>'Coût terminaison'!H48</f>
        <v>0.08469393939393939</v>
      </c>
      <c r="R20" s="206">
        <f>'Coût terminaison'!H51</f>
        <v>0.08762020202020203</v>
      </c>
      <c r="S20" s="87">
        <f>'Coût terminaison'!H51</f>
        <v>0.08762020202020203</v>
      </c>
      <c r="T20" s="192">
        <f>'Coût terminaison'!H51</f>
        <v>0.08762020202020203</v>
      </c>
      <c r="V20" s="206">
        <f>'Coût terminaison'!H54</f>
        <v>0.12626060606060607</v>
      </c>
      <c r="W20" s="87">
        <f>'Coût terminaison'!H54</f>
        <v>0.12626060606060607</v>
      </c>
      <c r="X20" s="192">
        <f>'Coût terminaison'!H54</f>
        <v>0.12626060606060607</v>
      </c>
    </row>
    <row r="21" spans="2:24" ht="11.25">
      <c r="B21" s="76" t="s">
        <v>157</v>
      </c>
      <c r="D21" s="229">
        <f>VLOOKUP("Charge à l'appel",B21:X21,id)</f>
        <v>0</v>
      </c>
      <c r="F21" s="206">
        <f>F9</f>
        <v>0.037466375999999996</v>
      </c>
      <c r="G21" s="87">
        <f>G9</f>
        <v>0.06396310588235293</v>
      </c>
      <c r="H21" s="192">
        <f>'Coût terminaison'!K13</f>
        <v>0.06396310588235293</v>
      </c>
      <c r="J21" s="206">
        <f>J9</f>
        <v>0.016996851428571425</v>
      </c>
      <c r="K21" s="87">
        <f>K9</f>
        <v>0.050856479999999996</v>
      </c>
      <c r="L21" s="192">
        <f>'Coût terminaison'!Q13</f>
        <v>0.050856479999999996</v>
      </c>
      <c r="N21" s="206"/>
      <c r="O21" s="87"/>
      <c r="P21" s="192"/>
      <c r="R21" s="206"/>
      <c r="S21" s="87"/>
      <c r="T21" s="192"/>
      <c r="V21" s="206"/>
      <c r="W21" s="87"/>
      <c r="X21" s="192"/>
    </row>
    <row r="22" spans="2:24" ht="11.25">
      <c r="B22" s="76" t="s">
        <v>158</v>
      </c>
      <c r="D22" s="229">
        <f>VLOOKUP("Partie à la minute",B22:X22,id)</f>
        <v>9.24</v>
      </c>
      <c r="F22" s="206">
        <f>F10</f>
        <v>0.4748034</v>
      </c>
      <c r="G22" s="87">
        <f>G10</f>
        <v>0.5269504</v>
      </c>
      <c r="H22" s="192">
        <f>'Coût terminaison'!K17</f>
        <v>0.5269504</v>
      </c>
      <c r="J22" s="206">
        <f>J10</f>
        <v>0.426554</v>
      </c>
      <c r="K22" s="87">
        <f>K10</f>
        <v>0.5240856</v>
      </c>
      <c r="L22" s="192">
        <f>'Coût terminaison'!Q17</f>
        <v>0.5240856</v>
      </c>
      <c r="N22" s="206">
        <f>'Coût terminaison'!D28</f>
        <v>7.5</v>
      </c>
      <c r="O22" s="87">
        <f>'Coût terminaison'!D28</f>
        <v>7.5</v>
      </c>
      <c r="P22" s="192">
        <f>'Coût terminaison'!D28</f>
        <v>7.5</v>
      </c>
      <c r="R22" s="206">
        <f>'Coût terminaison'!D29</f>
        <v>7.5</v>
      </c>
      <c r="S22" s="87">
        <f>'Coût terminaison'!D29</f>
        <v>7.5</v>
      </c>
      <c r="T22" s="192">
        <f>'Coût terminaison'!D29</f>
        <v>7.5</v>
      </c>
      <c r="V22" s="206">
        <f>'Coût terminaison'!D30</f>
        <v>9.24</v>
      </c>
      <c r="W22" s="87">
        <f>'Coût terminaison'!D30</f>
        <v>9.24</v>
      </c>
      <c r="X22" s="192">
        <f>'Coût terminaison'!D30</f>
        <v>9.24</v>
      </c>
    </row>
    <row r="23" spans="2:24" ht="11.25">
      <c r="B23" s="76" t="s">
        <v>296</v>
      </c>
      <c r="D23" s="229">
        <f>VLOOKUP("BPN de l'opérateur destinataire",B23:X23,id)</f>
        <v>0</v>
      </c>
      <c r="F23" s="206"/>
      <c r="G23" s="87"/>
      <c r="H23" s="192"/>
      <c r="J23" s="206"/>
      <c r="K23" s="87"/>
      <c r="L23" s="192"/>
      <c r="N23" s="206"/>
      <c r="O23" s="87"/>
      <c r="P23" s="192"/>
      <c r="R23" s="206"/>
      <c r="S23" s="87"/>
      <c r="T23" s="192"/>
      <c r="V23" s="206"/>
      <c r="W23" s="87"/>
      <c r="X23" s="192"/>
    </row>
    <row r="24" spans="2:24" ht="11.25">
      <c r="B24" s="76" t="s">
        <v>219</v>
      </c>
      <c r="D24" s="229">
        <f>VLOOKUP("Surcharge TA alternatifs",B24:X24,id)</f>
        <v>0</v>
      </c>
      <c r="F24" s="206">
        <f>'Coût terminaison'!H18-'Coût terminaison'!H17</f>
        <v>0.04625983</v>
      </c>
      <c r="G24" s="87">
        <f>'Coût terminaison'!K18-'Coût terminaison'!K17</f>
        <v>0.043652479999999994</v>
      </c>
      <c r="H24" s="192">
        <f>'Coût terminaison'!K18-'Coût terminaison'!K17</f>
        <v>0.043652479999999994</v>
      </c>
      <c r="J24" s="206">
        <f>'Coût terminaison'!N18-'Coût terminaison'!N17</f>
        <v>0.04867230000000006</v>
      </c>
      <c r="K24" s="87">
        <f>'Coût terminaison'!Q18-'Coût terminaison'!Q17</f>
        <v>0.04379572000000009</v>
      </c>
      <c r="L24" s="192">
        <f>'Coût terminaison'!Q18-'Coût terminaison'!Q17</f>
        <v>0.04379572000000009</v>
      </c>
      <c r="N24" s="206"/>
      <c r="O24" s="87"/>
      <c r="P24" s="192"/>
      <c r="R24" s="206"/>
      <c r="S24" s="87"/>
      <c r="T24" s="192"/>
      <c r="V24" s="206"/>
      <c r="W24" s="87"/>
      <c r="X24" s="192"/>
    </row>
    <row r="25" spans="2:24" ht="11.25">
      <c r="B25" s="238" t="s">
        <v>63</v>
      </c>
      <c r="D25" s="230">
        <f>VLOOKUP("Terminaison",B25:X25,id)</f>
        <v>9.502230303030304</v>
      </c>
      <c r="F25" s="224">
        <f>SUM(F19:F24)</f>
        <v>0.6787160958989898</v>
      </c>
      <c r="G25" s="222">
        <f>SUM(G19:G24)</f>
        <v>0.7547524757813429</v>
      </c>
      <c r="H25" s="223">
        <f>SUM(H19:H24)</f>
        <v>0.7547524757813429</v>
      </c>
      <c r="J25" s="224">
        <f>SUM(J19:J24)</f>
        <v>0.6124096413275613</v>
      </c>
      <c r="K25" s="222">
        <f>SUM(K19:K24)</f>
        <v>0.7389242898989901</v>
      </c>
      <c r="L25" s="223">
        <f>SUM(L19:L24)</f>
        <v>0.7389242898989901</v>
      </c>
      <c r="N25" s="224">
        <f>SUM(N19:N24)</f>
        <v>7.673754545454545</v>
      </c>
      <c r="O25" s="222">
        <f>SUM(O19:O24)</f>
        <v>7.673754545454545</v>
      </c>
      <c r="P25" s="223">
        <f>SUM(P19:P24)</f>
        <v>7.673754545454545</v>
      </c>
      <c r="R25" s="224">
        <f>SUM(R19:R24)</f>
        <v>7.676680808080808</v>
      </c>
      <c r="S25" s="222">
        <f>SUM(S19:S24)</f>
        <v>7.676680808080808</v>
      </c>
      <c r="T25" s="223">
        <f>SUM(T19:T24)</f>
        <v>7.676680808080808</v>
      </c>
      <c r="V25" s="224">
        <f>SUM(V19:V24)</f>
        <v>9.502230303030304</v>
      </c>
      <c r="W25" s="222">
        <f>SUM(W19:W24)</f>
        <v>9.502230303030304</v>
      </c>
      <c r="X25" s="223">
        <f>SUM(X19:X24)</f>
        <v>9.502230303030304</v>
      </c>
    </row>
    <row r="26" spans="4:24" ht="6" customHeight="1">
      <c r="D26" s="210"/>
      <c r="F26" s="87"/>
      <c r="G26" s="87"/>
      <c r="H26" s="87"/>
      <c r="J26" s="87"/>
      <c r="K26" s="87"/>
      <c r="L26" s="87"/>
      <c r="N26" s="87"/>
      <c r="O26" s="87"/>
      <c r="P26" s="87"/>
      <c r="R26" s="87"/>
      <c r="S26" s="87"/>
      <c r="T26" s="87"/>
      <c r="V26" s="87"/>
      <c r="W26" s="87"/>
      <c r="X26" s="87"/>
    </row>
    <row r="27" spans="2:24" ht="11.25">
      <c r="B27" s="239" t="s">
        <v>155</v>
      </c>
      <c r="D27" s="231">
        <f>VLOOKUP("Service Universel",B27:X27,id)</f>
        <v>0.016952142857142857</v>
      </c>
      <c r="F27" s="324">
        <f>F6*Taux_SU</f>
        <v>0.00319473</v>
      </c>
      <c r="G27" s="263">
        <f aca="true" t="shared" si="2" ref="G27:X27">G6*Taux_SU</f>
        <v>0.004354655294117647</v>
      </c>
      <c r="H27" s="264">
        <f t="shared" si="2"/>
        <v>0.004354655294117647</v>
      </c>
      <c r="I27" s="42"/>
      <c r="J27" s="262">
        <f t="shared" si="2"/>
        <v>0.005392594285714286</v>
      </c>
      <c r="K27" s="263">
        <f t="shared" si="2"/>
        <v>0.007303414453833886</v>
      </c>
      <c r="L27" s="264">
        <f t="shared" si="2"/>
        <v>0.007303414453833886</v>
      </c>
      <c r="M27" s="42"/>
      <c r="N27" s="262">
        <f t="shared" si="2"/>
        <v>0.014499642857142855</v>
      </c>
      <c r="O27" s="325">
        <f t="shared" si="2"/>
        <v>0.015210000000000001</v>
      </c>
      <c r="P27" s="264">
        <f t="shared" si="2"/>
        <v>0.015210000000000001</v>
      </c>
      <c r="Q27" s="42"/>
      <c r="R27" s="262">
        <f t="shared" si="2"/>
        <v>0.014499642857142855</v>
      </c>
      <c r="S27" s="263">
        <f t="shared" si="2"/>
        <v>0.014140285714285713</v>
      </c>
      <c r="T27" s="264">
        <f t="shared" si="2"/>
        <v>0.015210000000000001</v>
      </c>
      <c r="U27" s="42"/>
      <c r="V27" s="262">
        <f t="shared" si="2"/>
        <v>0.016952142857142857</v>
      </c>
      <c r="W27" s="263">
        <f t="shared" si="2"/>
        <v>0.017370000000000003</v>
      </c>
      <c r="X27" s="264">
        <f t="shared" si="2"/>
        <v>0.017370000000000003</v>
      </c>
    </row>
    <row r="28" spans="2:77" ht="11.25">
      <c r="B28" s="240" t="s">
        <v>98</v>
      </c>
      <c r="D28" s="232">
        <f>VLOOKUP("Coûts commerciaux",B28:X28,id)</f>
        <v>2.6</v>
      </c>
      <c r="F28" s="207">
        <f>'Hypothèses coûts'!D25</f>
        <v>0.9</v>
      </c>
      <c r="G28" s="94">
        <f>'Hypothèses coûts'!D25</f>
        <v>0.9</v>
      </c>
      <c r="H28" s="193">
        <f>'Hypothèses coûts'!D25</f>
        <v>0.9</v>
      </c>
      <c r="J28" s="207">
        <f>'Hypothèses coûts'!D26</f>
        <v>1.2</v>
      </c>
      <c r="K28" s="94">
        <f>'Hypothèses coûts'!D26</f>
        <v>1.2</v>
      </c>
      <c r="L28" s="193">
        <f>'Hypothèses coûts'!D26</f>
        <v>1.2</v>
      </c>
      <c r="N28" s="207">
        <f>'Hypothèses coûts'!D27</f>
        <v>2.6</v>
      </c>
      <c r="O28" s="94">
        <f>'Hypothèses coûts'!D27</f>
        <v>2.6</v>
      </c>
      <c r="P28" s="193">
        <f>'Hypothèses coûts'!D27</f>
        <v>2.6</v>
      </c>
      <c r="R28" s="207">
        <f>'Hypothèses coûts'!D27</f>
        <v>2.6</v>
      </c>
      <c r="S28" s="94">
        <f>'Hypothèses coûts'!D27</f>
        <v>2.6</v>
      </c>
      <c r="T28" s="193">
        <f>'Hypothèses coûts'!D27</f>
        <v>2.6</v>
      </c>
      <c r="V28" s="207">
        <f>'Hypothèses coûts'!D27</f>
        <v>2.6</v>
      </c>
      <c r="W28" s="94">
        <f>'Hypothèses coûts'!D27</f>
        <v>2.6</v>
      </c>
      <c r="X28" s="193">
        <f>'Hypothèses coûts'!D27</f>
        <v>2.6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</row>
    <row r="29" spans="2:77" ht="11.25">
      <c r="B29" s="238" t="s">
        <v>154</v>
      </c>
      <c r="D29" s="230">
        <f>VLOOKUP("Coûts communs",B29:X29,id)</f>
        <v>0.1164705821067821</v>
      </c>
      <c r="F29" s="221">
        <f>(F17+F27+F28)*Taux_CCommun</f>
        <v>0.0465277892</v>
      </c>
      <c r="G29" s="222">
        <f>(G17+G27+G28)*Taux_CCommun</f>
        <v>0.04657418621176471</v>
      </c>
      <c r="H29" s="223">
        <f>(H13+H17+H27+H28)*Taux_CCommun</f>
        <v>0.04657418621176471</v>
      </c>
      <c r="J29" s="221">
        <f>(J17+J27+J28)*Taux_CCommun</f>
        <v>0.06418568934141414</v>
      </c>
      <c r="K29" s="222">
        <f>(K17+K27+K28)*Taux_CCommun</f>
        <v>0.06426212214813892</v>
      </c>
      <c r="L29" s="223">
        <f>(L13+L17+L27+L28)*Taux_CCommun</f>
        <v>0.06426212214813892</v>
      </c>
      <c r="N29" s="221">
        <f>(N17+N27+N28)*Taux_CCommun</f>
        <v>0.11637248210678211</v>
      </c>
      <c r="O29" s="222">
        <f>(O17+O27+O28)*Taux_CCommun</f>
        <v>0.1164008963924964</v>
      </c>
      <c r="P29" s="223">
        <f>(P13+P17+P27+P28)*Taux_CCommun</f>
        <v>0.1164008963924964</v>
      </c>
      <c r="R29" s="221">
        <f>(R17+R27+R28)*Taux_CCommun</f>
        <v>0.11637248210678211</v>
      </c>
      <c r="S29" s="222">
        <f>(S17+S27+S28)*Taux_CCommun</f>
        <v>0.11635810782106783</v>
      </c>
      <c r="T29" s="223">
        <f>(T13+T17+T27+T28)*Taux_CCommun</f>
        <v>0.1164008963924964</v>
      </c>
      <c r="V29" s="221">
        <f>(V17+V27+V28)*Taux_CCommun</f>
        <v>0.1164705821067821</v>
      </c>
      <c r="W29" s="222">
        <f>(W17+W27+W28)*Taux_CCommun</f>
        <v>0.1164872963924964</v>
      </c>
      <c r="X29" s="223">
        <f>(X13+X17+X27+X28)*Taux_CCommun</f>
        <v>0.1164872963924964</v>
      </c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</row>
    <row r="30" spans="4:24" ht="6" customHeight="1">
      <c r="D30" s="210"/>
      <c r="F30" s="87"/>
      <c r="G30" s="87"/>
      <c r="H30" s="87"/>
      <c r="J30" s="87"/>
      <c r="K30" s="87"/>
      <c r="L30" s="87"/>
      <c r="N30" s="87"/>
      <c r="O30" s="87"/>
      <c r="P30" s="87"/>
      <c r="R30" s="87"/>
      <c r="S30" s="87"/>
      <c r="T30" s="87"/>
      <c r="V30" s="87"/>
      <c r="W30" s="87"/>
      <c r="X30" s="87"/>
    </row>
    <row r="31" spans="2:24" ht="11.25">
      <c r="B31" s="121" t="s">
        <v>160</v>
      </c>
      <c r="D31" s="227">
        <f>VLOOKUP("Total Coûts",B31:X31,id)</f>
        <v>13.219013356277056</v>
      </c>
      <c r="F31" s="225">
        <f>F13+F17+F25+F27+F28+F29</f>
        <v>2.5208948809979796</v>
      </c>
      <c r="G31" s="226">
        <f>G13+G17+G25+G27+G28+G29</f>
        <v>2.676781313068568</v>
      </c>
      <c r="H31" s="184">
        <f>H13+H17+H25+H27+H28+H29</f>
        <v>1.9656813172872254</v>
      </c>
      <c r="J31" s="225">
        <f>J13+J17+J25+J27+J28+J29</f>
        <v>2.8449749055318905</v>
      </c>
      <c r="K31" s="226">
        <f>K13+K17+K25+K27+K28+K29</f>
        <v>3.1048680356495924</v>
      </c>
      <c r="L31" s="184">
        <f>L13+L17+L25+L27+L28+L29</f>
        <v>2.409739465750602</v>
      </c>
      <c r="N31" s="225">
        <f>N13+N17+N25+N27+N28+N29</f>
        <v>11.387986998701297</v>
      </c>
      <c r="O31" s="226">
        <f>O13+O17+O25+O27+O28+O29</f>
        <v>11.428237198701298</v>
      </c>
      <c r="P31" s="184">
        <f>P13+P17+P25+P27+P28+P29</f>
        <v>10.700177851659452</v>
      </c>
      <c r="R31" s="225">
        <f>R13+R17+R25+R27+R28+R29</f>
        <v>11.39091326132756</v>
      </c>
      <c r="S31" s="226">
        <f>S13+S17+S25+S27+S28+S29</f>
        <v>11.430050958470417</v>
      </c>
      <c r="T31" s="184">
        <f>T13+T17+T25+T27+T28+T29</f>
        <v>10.703104114285715</v>
      </c>
      <c r="V31" s="225">
        <f>V13+V17+V25+V27+V28+V29</f>
        <v>13.219013356277056</v>
      </c>
      <c r="W31" s="226">
        <f>W13+W17+W25+W27+W28+W29</f>
        <v>13.258959356277055</v>
      </c>
      <c r="X31" s="184">
        <f>X13+X17+X25+X27+X28+X29</f>
        <v>12.530900009235209</v>
      </c>
    </row>
    <row r="32" ht="11.25">
      <c r="C32" s="6"/>
    </row>
    <row r="33" ht="11.25" customHeight="1"/>
    <row r="34" spans="2:77" s="42" customFormat="1" ht="11.25">
      <c r="B34" s="319" t="s">
        <v>161</v>
      </c>
      <c r="C34" s="320"/>
      <c r="D34" s="315">
        <f>VLOOKUP("Marge",B34:X34,id)</f>
        <v>5.616700929437229</v>
      </c>
      <c r="E34" s="321"/>
      <c r="F34" s="233">
        <f>F6-F31</f>
        <v>1.02880511900202</v>
      </c>
      <c r="G34" s="234">
        <f>G6-G31</f>
        <v>2.1617245692843725</v>
      </c>
      <c r="H34" s="235">
        <f>H6-H31</f>
        <v>2.872824565065715</v>
      </c>
      <c r="J34" s="233">
        <f>J6-J31</f>
        <v>3.1467965230395385</v>
      </c>
      <c r="K34" s="234">
        <f>K6-K31</f>
        <v>5.0100369130547255</v>
      </c>
      <c r="L34" s="235">
        <f>L6-L31</f>
        <v>5.705165482953715</v>
      </c>
      <c r="N34" s="233">
        <f>N6-N31</f>
        <v>4.722727287012987</v>
      </c>
      <c r="O34" s="234">
        <f>O6-O31</f>
        <v>5.471762801298704</v>
      </c>
      <c r="P34" s="235">
        <f>P6-P31</f>
        <v>6.19982214834055</v>
      </c>
      <c r="R34" s="233">
        <f>R6-R31</f>
        <v>4.719801024386724</v>
      </c>
      <c r="S34" s="234">
        <f>S6-S31</f>
        <v>4.281377612958153</v>
      </c>
      <c r="T34" s="235">
        <f>T6-T31</f>
        <v>6.196895885714287</v>
      </c>
      <c r="V34" s="233">
        <f>V6-V31</f>
        <v>5.616700929437229</v>
      </c>
      <c r="W34" s="234">
        <f>W6-W31</f>
        <v>6.041040643722949</v>
      </c>
      <c r="X34" s="235">
        <f>X6-X31</f>
        <v>6.769099990764795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</row>
    <row r="35" spans="2:77" s="244" customFormat="1" ht="11.25">
      <c r="B35" s="316" t="s">
        <v>162</v>
      </c>
      <c r="C35" s="317"/>
      <c r="D35" s="310">
        <f>VLOOKUP("Taux de marge",B35:X35,id)</f>
        <v>0.2981942093747486</v>
      </c>
      <c r="E35" s="318"/>
      <c r="F35" s="261">
        <f>F34/F6</f>
        <v>0.28982875144435305</v>
      </c>
      <c r="G35" s="258">
        <f>G34/G6</f>
        <v>0.4467752281068091</v>
      </c>
      <c r="H35" s="259">
        <f>H34/H6</f>
        <v>0.5937420837997773</v>
      </c>
      <c r="I35" s="260"/>
      <c r="J35" s="261">
        <f>J34/J6</f>
        <v>0.525186342728999</v>
      </c>
      <c r="K35" s="258">
        <f>K34/K6</f>
        <v>0.617387011274194</v>
      </c>
      <c r="L35" s="259">
        <f>L34/L6</f>
        <v>0.7030477274862772</v>
      </c>
      <c r="M35" s="260"/>
      <c r="N35" s="261">
        <f>N34/N6</f>
        <v>0.29314201737167733</v>
      </c>
      <c r="O35" s="258">
        <f>O34/O6</f>
        <v>0.3237729468224085</v>
      </c>
      <c r="P35" s="259">
        <f>P34/P6</f>
        <v>0.36685338155861236</v>
      </c>
      <c r="Q35" s="260"/>
      <c r="R35" s="261">
        <f>R34/R6</f>
        <v>0.2929603828038756</v>
      </c>
      <c r="S35" s="258">
        <f>S34/S6</f>
        <v>0.27250084825156456</v>
      </c>
      <c r="T35" s="259">
        <f>T34/T6</f>
        <v>0.3666802299239223</v>
      </c>
      <c r="U35" s="260"/>
      <c r="V35" s="261">
        <f>V34/V6</f>
        <v>0.2981942093747486</v>
      </c>
      <c r="W35" s="258">
        <f>W34/W6</f>
        <v>0.313007287239531</v>
      </c>
      <c r="X35" s="259">
        <f>X34/X6</f>
        <v>0.35073056946967845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</row>
    <row r="36" spans="2:24" ht="16.5" customHeight="1">
      <c r="B36" s="80"/>
      <c r="D36" s="256"/>
      <c r="E36" s="309"/>
      <c r="F36" s="257"/>
      <c r="G36" s="257"/>
      <c r="H36" s="257"/>
      <c r="I36" s="255"/>
      <c r="J36" s="257"/>
      <c r="K36" s="257"/>
      <c r="L36" s="257"/>
      <c r="M36" s="255"/>
      <c r="N36" s="257"/>
      <c r="O36" s="156"/>
      <c r="P36" s="156"/>
      <c r="R36" s="156"/>
      <c r="S36" s="156"/>
      <c r="T36" s="156"/>
      <c r="V36" s="156"/>
      <c r="W36" s="156"/>
      <c r="X36" s="156"/>
    </row>
    <row r="37" spans="2:24" ht="16.5" customHeight="1">
      <c r="B37" s="80"/>
      <c r="D37" s="213"/>
      <c r="F37" s="156"/>
      <c r="G37" s="156"/>
      <c r="H37" s="156"/>
      <c r="J37" s="156"/>
      <c r="K37" s="156"/>
      <c r="L37" s="156"/>
      <c r="N37" s="156"/>
      <c r="O37" s="156"/>
      <c r="P37" s="156"/>
      <c r="R37" s="156"/>
      <c r="S37" s="156"/>
      <c r="T37" s="156"/>
      <c r="V37" s="156"/>
      <c r="W37" s="156"/>
      <c r="X37" s="156"/>
    </row>
    <row r="38" spans="2:24" ht="16.5" customHeight="1">
      <c r="B38" s="80"/>
      <c r="D38" s="157"/>
      <c r="F38" s="156"/>
      <c r="G38" s="156"/>
      <c r="H38" s="156"/>
      <c r="J38" s="156"/>
      <c r="K38" s="156"/>
      <c r="L38" s="156"/>
      <c r="N38" s="156"/>
      <c r="O38" s="156"/>
      <c r="P38" s="156"/>
      <c r="R38" s="156"/>
      <c r="S38" s="156"/>
      <c r="T38" s="156"/>
      <c r="V38" s="156"/>
      <c r="W38" s="156"/>
      <c r="X38" s="156"/>
    </row>
    <row r="39" spans="2:24" ht="11.25">
      <c r="B39" s="121" t="s">
        <v>247</v>
      </c>
      <c r="D39" s="157"/>
      <c r="F39" s="156"/>
      <c r="G39" s="156"/>
      <c r="H39" s="156"/>
      <c r="J39" s="156"/>
      <c r="K39" s="156"/>
      <c r="L39" s="156"/>
      <c r="N39" s="156"/>
      <c r="O39" s="156"/>
      <c r="P39" s="156"/>
      <c r="R39" s="156"/>
      <c r="S39" s="156"/>
      <c r="T39" s="156"/>
      <c r="V39" s="156"/>
      <c r="W39" s="156"/>
      <c r="X39" s="156"/>
    </row>
    <row r="40" spans="2:24" ht="11.25">
      <c r="B40" s="240" t="s">
        <v>98</v>
      </c>
      <c r="D40" s="211">
        <f>VLOOKUP("Coûts commerciaux",B40:X40,id)</f>
        <v>0</v>
      </c>
      <c r="F40" s="156"/>
      <c r="G40" s="68">
        <f>G28*'Hypothèses coûts'!$D28</f>
        <v>0.36000000000000004</v>
      </c>
      <c r="H40" s="67">
        <f>H28*'Hypothèses coûts'!$D28</f>
        <v>0.36000000000000004</v>
      </c>
      <c r="J40" s="94"/>
      <c r="K40" s="68">
        <f>K28*'Hypothèses coûts'!$D28</f>
        <v>0.48</v>
      </c>
      <c r="L40" s="67">
        <f>L28*'Hypothèses coûts'!$D28</f>
        <v>0.48</v>
      </c>
      <c r="N40" s="156"/>
      <c r="O40" s="68">
        <f>O28*'Hypothèses coûts'!$D28</f>
        <v>1.04</v>
      </c>
      <c r="P40" s="67">
        <f>P28*'Hypothèses coûts'!$D28</f>
        <v>1.04</v>
      </c>
      <c r="R40" s="156"/>
      <c r="S40" s="68">
        <f>S28*'Hypothèses coûts'!$D28</f>
        <v>1.04</v>
      </c>
      <c r="T40" s="67">
        <f>T28*'Hypothèses coûts'!$D28</f>
        <v>1.04</v>
      </c>
      <c r="V40" s="156"/>
      <c r="W40" s="68">
        <f>W28*'Hypothèses coûts'!$D28</f>
        <v>1.04</v>
      </c>
      <c r="X40" s="67">
        <f>X28*'Hypothèses coûts'!$D28</f>
        <v>1.04</v>
      </c>
    </row>
    <row r="41" spans="2:24" ht="11.25">
      <c r="B41" s="238" t="s">
        <v>154</v>
      </c>
      <c r="D41" s="211">
        <f>VLOOKUP("Coûts communs",B41:X41,id)</f>
        <v>0</v>
      </c>
      <c r="F41" s="156"/>
      <c r="G41" s="236">
        <f>(G17+G27+G40)*Taux_CCommun</f>
        <v>0.02497418621176471</v>
      </c>
      <c r="H41" s="70">
        <f>(H17+H27+H40)*Taux_CCommun</f>
        <v>0.02497418621176471</v>
      </c>
      <c r="J41" s="94"/>
      <c r="K41" s="236">
        <f>(K17+K27+K40)*Taux_CCommun</f>
        <v>0.03546212214813892</v>
      </c>
      <c r="L41" s="70">
        <f>(L17+L27+L40)*Taux_CCommun</f>
        <v>0.03546212214813892</v>
      </c>
      <c r="N41" s="156"/>
      <c r="O41" s="236">
        <f>(O17+O27+O40)*Taux_CCommun</f>
        <v>0.054000896392496396</v>
      </c>
      <c r="P41" s="70">
        <f>(P17+P27+P40)*Taux_CCommun</f>
        <v>0.054000896392496396</v>
      </c>
      <c r="R41" s="156"/>
      <c r="S41" s="236">
        <f>(S17+S27+S40)*Taux_CCommun</f>
        <v>0.05395810782106782</v>
      </c>
      <c r="T41" s="70">
        <f>(T17+T27+T40)*Taux_CCommun</f>
        <v>0.054000896392496396</v>
      </c>
      <c r="V41" s="156"/>
      <c r="W41" s="236">
        <f>(W17+W27+W40)*Taux_CCommun</f>
        <v>0.05408729639249639</v>
      </c>
      <c r="X41" s="70">
        <f>(X17+X27+X40)*Taux_CCommun</f>
        <v>0.05408729639249639</v>
      </c>
    </row>
    <row r="42" spans="2:24" ht="6" customHeight="1">
      <c r="B42" s="21"/>
      <c r="D42" s="211"/>
      <c r="F42" s="156"/>
      <c r="G42" s="87"/>
      <c r="H42" s="87"/>
      <c r="J42" s="94"/>
      <c r="K42" s="87"/>
      <c r="L42" s="87"/>
      <c r="N42" s="156"/>
      <c r="O42" s="87"/>
      <c r="P42" s="87"/>
      <c r="R42" s="156"/>
      <c r="S42" s="87"/>
      <c r="T42" s="87"/>
      <c r="V42" s="156"/>
      <c r="W42" s="87"/>
      <c r="X42" s="87"/>
    </row>
    <row r="43" spans="2:24" ht="11.25">
      <c r="B43" s="121" t="s">
        <v>160</v>
      </c>
      <c r="D43" s="208">
        <f>VLOOKUP("Total Coûts",B43:X43,id)</f>
        <v>0</v>
      </c>
      <c r="F43" s="156"/>
      <c r="G43" s="225">
        <f>G13+G17+G25+G27+G40+G41</f>
        <v>2.1151813130685677</v>
      </c>
      <c r="H43" s="184">
        <f>H13+H17+H25+H27+H40+H41</f>
        <v>1.4040813172872253</v>
      </c>
      <c r="J43" s="156"/>
      <c r="K43" s="225">
        <f>K13+K17+K25+K27+K40+K41</f>
        <v>2.356068035649592</v>
      </c>
      <c r="L43" s="184">
        <f>L13+L17+L25+L27+L40+L41</f>
        <v>1.660939465750602</v>
      </c>
      <c r="N43" s="156"/>
      <c r="O43" s="225">
        <f>O13+O17+O25+O27+O40+O41</f>
        <v>9.8058371987013</v>
      </c>
      <c r="P43" s="184">
        <f>P13+P17+P25+P27+P40+P41</f>
        <v>9.077777851659452</v>
      </c>
      <c r="R43" s="156"/>
      <c r="S43" s="225">
        <f>S13+S17+S25+S27+S40+S41</f>
        <v>9.807650958470418</v>
      </c>
      <c r="T43" s="184">
        <f>T13+T17+T25+T27+T40+T41</f>
        <v>9.080704114285714</v>
      </c>
      <c r="V43" s="156"/>
      <c r="W43" s="225">
        <f>W13+W17+W25+W27+W40+W41</f>
        <v>11.636559356277056</v>
      </c>
      <c r="X43" s="184">
        <f>X13+X17+X25+X27+X40+X41</f>
        <v>10.90850000923521</v>
      </c>
    </row>
    <row r="44" ht="11.25">
      <c r="C44" s="6"/>
    </row>
    <row r="45" ht="11.25" customHeight="1">
      <c r="C45" s="6"/>
    </row>
    <row r="46" spans="2:24" ht="11.25">
      <c r="B46" s="241" t="s">
        <v>161</v>
      </c>
      <c r="D46" s="212">
        <f>VLOOKUP("Marge",B46:X46,id)</f>
        <v>0</v>
      </c>
      <c r="F46" s="156"/>
      <c r="G46" s="233">
        <f>G6-G43</f>
        <v>2.723324569284373</v>
      </c>
      <c r="H46" s="235">
        <f>H6-H43</f>
        <v>3.434424565065715</v>
      </c>
      <c r="J46" s="156"/>
      <c r="K46" s="233">
        <f>K6-K43</f>
        <v>5.758836913054726</v>
      </c>
      <c r="L46" s="235">
        <f>L6-L43</f>
        <v>6.453965482953716</v>
      </c>
      <c r="N46" s="156"/>
      <c r="O46" s="233">
        <f>O6-O43</f>
        <v>7.094162801298703</v>
      </c>
      <c r="P46" s="235">
        <f>P6-P43</f>
        <v>7.8222221483405505</v>
      </c>
      <c r="R46" s="156"/>
      <c r="S46" s="233">
        <f>S6-S43</f>
        <v>5.903777612958152</v>
      </c>
      <c r="T46" s="235">
        <f>T6-T43</f>
        <v>7.819295885714288</v>
      </c>
      <c r="V46" s="156"/>
      <c r="W46" s="233">
        <f>W6-W43</f>
        <v>7.663440643722948</v>
      </c>
      <c r="X46" s="235">
        <f>X6-X43</f>
        <v>8.391499990764794</v>
      </c>
    </row>
    <row r="47" spans="2:24" ht="11.25">
      <c r="B47" s="242" t="s">
        <v>162</v>
      </c>
      <c r="D47" s="276">
        <f>VLOOKUP("Taux de marge",B47:X47,id)</f>
        <v>0</v>
      </c>
      <c r="F47" s="156"/>
      <c r="G47" s="261">
        <f>G46/G6</f>
        <v>0.5628441166552915</v>
      </c>
      <c r="H47" s="259">
        <f>H46/H6</f>
        <v>0.7098109723482597</v>
      </c>
      <c r="I47" s="260"/>
      <c r="J47" s="187"/>
      <c r="K47" s="261">
        <f>K46/K6</f>
        <v>0.7096616595582209</v>
      </c>
      <c r="L47" s="259">
        <f>L46/L6</f>
        <v>0.7953223757703042</v>
      </c>
      <c r="M47" s="260"/>
      <c r="N47" s="187"/>
      <c r="O47" s="261">
        <f>O46/O6</f>
        <v>0.4197729468224084</v>
      </c>
      <c r="P47" s="259">
        <f>P46/P6</f>
        <v>0.4628533815586124</v>
      </c>
      <c r="Q47" s="260"/>
      <c r="R47" s="187"/>
      <c r="S47" s="261">
        <f>S46/S6</f>
        <v>0.37576325959908224</v>
      </c>
      <c r="T47" s="259">
        <f>T46/T6</f>
        <v>0.4626802299239223</v>
      </c>
      <c r="U47" s="260"/>
      <c r="V47" s="187"/>
      <c r="W47" s="261">
        <f>W46/W6</f>
        <v>0.397069463405334</v>
      </c>
      <c r="X47" s="259">
        <f>X46/X6</f>
        <v>0.4347927456354815</v>
      </c>
    </row>
    <row r="48" spans="2:24" ht="11.25">
      <c r="B48" s="80"/>
      <c r="F48" s="156"/>
      <c r="G48" s="156"/>
      <c r="H48" s="156"/>
      <c r="J48" s="156"/>
      <c r="K48" s="156"/>
      <c r="L48" s="156"/>
      <c r="N48" s="156"/>
      <c r="O48" s="156"/>
      <c r="P48" s="156"/>
      <c r="R48" s="156"/>
      <c r="S48" s="156"/>
      <c r="T48" s="156"/>
      <c r="V48" s="156"/>
      <c r="W48" s="156"/>
      <c r="X48" s="156"/>
    </row>
    <row r="49" ht="11.25">
      <c r="D49" s="308" t="s">
        <v>30</v>
      </c>
    </row>
    <row r="50" ht="11.25">
      <c r="D50" s="308" t="s">
        <v>31</v>
      </c>
    </row>
    <row r="51" ht="11.25">
      <c r="D51" s="308" t="s">
        <v>295</v>
      </c>
    </row>
    <row r="52" ht="11.25">
      <c r="D52" s="308" t="s">
        <v>293</v>
      </c>
    </row>
    <row r="53" ht="11.25">
      <c r="D53" s="308" t="s">
        <v>294</v>
      </c>
    </row>
    <row r="54" ht="11.25">
      <c r="D54" s="308"/>
    </row>
    <row r="55" ht="11.25">
      <c r="D55" s="308"/>
    </row>
    <row r="56" ht="11.25">
      <c r="D56" s="308"/>
    </row>
    <row r="57" ht="11.25">
      <c r="D57" s="308"/>
    </row>
    <row r="58" ht="11.25">
      <c r="D58" s="308"/>
    </row>
    <row r="59" ht="11.25">
      <c r="D59" s="308"/>
    </row>
    <row r="60" ht="11.25">
      <c r="D60" s="308"/>
    </row>
    <row r="61" ht="11.25">
      <c r="D61" s="308"/>
    </row>
    <row r="62" ht="11.25">
      <c r="D62" s="308"/>
    </row>
    <row r="63" ht="11.25">
      <c r="D63" s="308"/>
    </row>
    <row r="64" ht="11.25">
      <c r="D64" s="308"/>
    </row>
    <row r="65" ht="11.25">
      <c r="D65" s="308"/>
    </row>
    <row r="66" ht="11.25">
      <c r="D66" s="308"/>
    </row>
  </sheetData>
  <sheetProtection sheet="1" objects="1" scenarios="1"/>
  <mergeCells count="5">
    <mergeCell ref="V3:X3"/>
    <mergeCell ref="F3:H3"/>
    <mergeCell ref="J3:L3"/>
    <mergeCell ref="N3:P3"/>
    <mergeCell ref="R3:T3"/>
  </mergeCells>
  <conditionalFormatting sqref="D4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D46">
    <cfRule type="cellIs" priority="3" dxfId="0" operator="equal" stopIfTrue="1">
      <formula>0</formula>
    </cfRule>
    <cfRule type="cellIs" priority="4" dxfId="2" operator="notEqual" stopIfTrue="1">
      <formula>0</formula>
    </cfRule>
  </conditionalFormatting>
  <conditionalFormatting sqref="D47">
    <cfRule type="cellIs" priority="5" dxfId="0" operator="equal" stopIfTrue="1">
      <formula>0</formula>
    </cfRule>
    <cfRule type="cellIs" priority="6" dxfId="3" operator="notEqual" stopIfTrue="1">
      <formula>0</formula>
    </cfRule>
  </conditionalFormatting>
  <conditionalFormatting sqref="D40">
    <cfRule type="cellIs" priority="7" dxfId="0" operator="equal" stopIfTrue="1">
      <formula>0</formula>
    </cfRule>
    <cfRule type="cellIs" priority="8" dxfId="4" operator="notEqual" stopIfTrue="1">
      <formula>0</formula>
    </cfRule>
  </conditionalFormatting>
  <conditionalFormatting sqref="D41">
    <cfRule type="cellIs" priority="9" dxfId="0" operator="equal" stopIfTrue="1">
      <formula>0</formula>
    </cfRule>
    <cfRule type="cellIs" priority="10" dxfId="5" operator="notEqual" stopIfTrue="1">
      <formula>0</formula>
    </cfRule>
  </conditionalFormatting>
  <conditionalFormatting sqref="B39">
    <cfRule type="cellIs" priority="11" dxfId="6" operator="notEqual" stopIfTrue="1">
      <formula>0</formula>
    </cfRule>
    <cfRule type="cellIs" priority="12" dxfId="0" operator="equal" stopIfTrue="1">
      <formula>0</formula>
    </cfRule>
  </conditionalFormatting>
  <conditionalFormatting sqref="A35:IV35">
    <cfRule type="cellIs" priority="13" dxfId="7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O4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.7109375" style="1" customWidth="1"/>
    <col min="3" max="3" width="20.8515625" style="1" customWidth="1"/>
    <col min="4" max="4" width="16.28125" style="1" customWidth="1"/>
    <col min="5" max="5" width="11.421875" style="1" customWidth="1"/>
    <col min="6" max="6" width="2.7109375" style="1" customWidth="1"/>
    <col min="7" max="7" width="12.8515625" style="1" customWidth="1"/>
    <col min="8" max="8" width="19.8515625" style="1" customWidth="1"/>
    <col min="9" max="9" width="11.421875" style="1" customWidth="1"/>
    <col min="10" max="10" width="11.28125" style="1" customWidth="1"/>
    <col min="11" max="11" width="2.140625" style="1" customWidth="1"/>
    <col min="12" max="12" width="14.57421875" style="1" customWidth="1"/>
    <col min="13" max="13" width="13.7109375" style="1" customWidth="1"/>
    <col min="14" max="14" width="14.140625" style="1" customWidth="1"/>
    <col min="15" max="16384" width="11.421875" style="1" customWidth="1"/>
  </cols>
  <sheetData>
    <row r="1" ht="18" customHeight="1"/>
    <row r="2" spans="1:14" ht="12.75">
      <c r="A2" s="23"/>
      <c r="B2" s="123"/>
      <c r="C2" s="3" t="s">
        <v>0</v>
      </c>
      <c r="D2" s="3"/>
      <c r="E2" s="4"/>
      <c r="F2" s="4"/>
      <c r="G2" s="4"/>
      <c r="H2" s="4"/>
      <c r="I2" s="5"/>
      <c r="J2" s="5"/>
      <c r="K2" s="4"/>
      <c r="L2" s="5"/>
      <c r="M2" s="5"/>
      <c r="N2" s="5"/>
    </row>
    <row r="3" spans="1:10" ht="12.75">
      <c r="A3" s="23"/>
      <c r="B3" s="21"/>
      <c r="C3" s="6"/>
      <c r="D3" s="6"/>
      <c r="E3" s="6"/>
      <c r="F3" s="6"/>
      <c r="G3" s="6"/>
      <c r="H3" s="6"/>
      <c r="I3" s="6"/>
      <c r="J3" s="6"/>
    </row>
    <row r="4" spans="1:10" ht="12.75">
      <c r="A4" s="23"/>
      <c r="B4" s="6"/>
      <c r="C4" s="326" t="s">
        <v>1</v>
      </c>
      <c r="D4" s="7" t="s">
        <v>2</v>
      </c>
      <c r="E4" s="7" t="s">
        <v>3</v>
      </c>
      <c r="F4" s="8"/>
      <c r="G4" s="8"/>
      <c r="H4" s="7" t="s">
        <v>4</v>
      </c>
      <c r="I4" s="9" t="s">
        <v>5</v>
      </c>
      <c r="J4" s="10"/>
    </row>
    <row r="5" spans="1:10" ht="12.75">
      <c r="A5" s="23"/>
      <c r="B5" s="23"/>
      <c r="C5" s="327"/>
      <c r="D5" s="11" t="s">
        <v>6</v>
      </c>
      <c r="E5" s="11" t="s">
        <v>7</v>
      </c>
      <c r="F5" s="8"/>
      <c r="G5" s="8"/>
      <c r="H5" s="12" t="s">
        <v>8</v>
      </c>
      <c r="I5" s="13" t="s">
        <v>3</v>
      </c>
      <c r="J5" s="14" t="s">
        <v>9</v>
      </c>
    </row>
    <row r="6" spans="1:10" ht="12.75">
      <c r="A6" s="23"/>
      <c r="B6" s="23"/>
      <c r="D6" s="15"/>
      <c r="E6" s="15"/>
      <c r="F6" s="2"/>
      <c r="G6" s="2"/>
      <c r="H6" s="11" t="s">
        <v>7</v>
      </c>
      <c r="I6" s="16" t="s">
        <v>7</v>
      </c>
      <c r="J6" s="17" t="s">
        <v>10</v>
      </c>
    </row>
    <row r="7" spans="1:10" ht="12.75">
      <c r="A7" s="23"/>
      <c r="B7" s="23"/>
      <c r="D7" s="15"/>
      <c r="E7" s="15"/>
      <c r="F7" s="2"/>
      <c r="G7" s="2"/>
      <c r="H7" s="18"/>
      <c r="I7" s="18"/>
      <c r="J7" s="18"/>
    </row>
    <row r="8" spans="1:14" ht="3.75" customHeight="1">
      <c r="A8" s="23"/>
      <c r="B8" s="23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0" ht="12.75" customHeight="1">
      <c r="A9" s="23"/>
      <c r="B9" s="23"/>
      <c r="D9" s="186" t="s">
        <v>18</v>
      </c>
      <c r="E9" s="34"/>
      <c r="J9" s="23"/>
    </row>
    <row r="10" spans="1:14" ht="12.75" customHeight="1">
      <c r="A10" s="23"/>
      <c r="B10" s="23"/>
      <c r="C10" s="21" t="s">
        <v>11</v>
      </c>
      <c r="D10" s="15"/>
      <c r="E10" s="15"/>
      <c r="F10" s="2"/>
      <c r="G10" s="2"/>
      <c r="H10" s="18"/>
      <c r="I10" s="18"/>
      <c r="J10" s="18"/>
      <c r="L10" s="328" t="s">
        <v>108</v>
      </c>
      <c r="M10" s="328" t="s">
        <v>109</v>
      </c>
      <c r="N10" s="328" t="s">
        <v>110</v>
      </c>
    </row>
    <row r="11" spans="1:14" ht="12.75">
      <c r="A11" s="23"/>
      <c r="B11" s="23"/>
      <c r="C11" s="22" t="s">
        <v>12</v>
      </c>
      <c r="D11" s="49">
        <v>0.53</v>
      </c>
      <c r="E11" s="36">
        <v>200</v>
      </c>
      <c r="F11" s="2"/>
      <c r="G11" s="2"/>
      <c r="H11" s="7" t="s">
        <v>13</v>
      </c>
      <c r="I11" s="132">
        <v>0</v>
      </c>
      <c r="J11" s="130">
        <v>0</v>
      </c>
      <c r="L11" s="328"/>
      <c r="M11" s="328"/>
      <c r="N11" s="328"/>
    </row>
    <row r="12" spans="1:14" ht="12.75">
      <c r="A12" s="23"/>
      <c r="B12" s="23"/>
      <c r="C12" s="24" t="s">
        <v>14</v>
      </c>
      <c r="D12" s="166">
        <f>1-D11</f>
        <v>0.47</v>
      </c>
      <c r="E12" s="38">
        <v>250</v>
      </c>
      <c r="F12" s="2"/>
      <c r="G12" s="2"/>
      <c r="H12" s="11">
        <v>0</v>
      </c>
      <c r="I12" s="133">
        <v>0</v>
      </c>
      <c r="J12" s="131">
        <v>0</v>
      </c>
      <c r="L12" s="35">
        <v>1</v>
      </c>
      <c r="M12" s="35">
        <v>0.95</v>
      </c>
      <c r="N12" s="175">
        <f>1-(M12)</f>
        <v>0.050000000000000044</v>
      </c>
    </row>
    <row r="13" spans="1:13" ht="14.25" customHeight="1">
      <c r="A13" s="23"/>
      <c r="B13" s="23"/>
      <c r="C13" s="25" t="s">
        <v>15</v>
      </c>
      <c r="D13" s="41">
        <f>SUM(D11:D12)</f>
        <v>1</v>
      </c>
      <c r="E13" s="40">
        <f>E11*D11+E12*D12</f>
        <v>223.5</v>
      </c>
      <c r="F13" s="2"/>
      <c r="G13" s="2"/>
      <c r="H13" s="23"/>
      <c r="I13" s="23"/>
      <c r="L13" s="26"/>
      <c r="M13" s="23"/>
    </row>
    <row r="14" spans="1:13" ht="12.75">
      <c r="A14" s="23"/>
      <c r="B14" s="23"/>
      <c r="C14" s="27"/>
      <c r="D14" s="167"/>
      <c r="E14" s="124"/>
      <c r="F14" s="26"/>
      <c r="G14" s="26"/>
      <c r="H14" s="23"/>
      <c r="I14" s="23"/>
      <c r="L14" s="27"/>
      <c r="M14" s="28"/>
    </row>
    <row r="15" spans="1:14" ht="12.75" customHeight="1">
      <c r="A15" s="23"/>
      <c r="B15" s="23"/>
      <c r="C15" s="21" t="s">
        <v>220</v>
      </c>
      <c r="D15" s="168"/>
      <c r="E15" s="125"/>
      <c r="F15" s="8"/>
      <c r="G15" s="8"/>
      <c r="L15" s="328" t="s">
        <v>111</v>
      </c>
      <c r="M15" s="328" t="s">
        <v>112</v>
      </c>
      <c r="N15" s="328" t="s">
        <v>113</v>
      </c>
    </row>
    <row r="16" spans="1:14" ht="12.75">
      <c r="A16" s="23"/>
      <c r="B16" s="23"/>
      <c r="C16" s="30" t="s">
        <v>16</v>
      </c>
      <c r="D16" s="49">
        <v>0.98</v>
      </c>
      <c r="E16" s="36">
        <v>140</v>
      </c>
      <c r="F16" s="2"/>
      <c r="G16" s="2"/>
      <c r="H16" s="7" t="s">
        <v>13</v>
      </c>
      <c r="I16" s="132">
        <v>30</v>
      </c>
      <c r="J16" s="130">
        <v>0.45</v>
      </c>
      <c r="L16" s="328"/>
      <c r="M16" s="328"/>
      <c r="N16" s="328"/>
    </row>
    <row r="17" spans="1:14" ht="12.75">
      <c r="A17" s="23"/>
      <c r="B17" s="23"/>
      <c r="C17" s="31" t="s">
        <v>17</v>
      </c>
      <c r="D17" s="166">
        <f>1-D16</f>
        <v>0.020000000000000018</v>
      </c>
      <c r="E17" s="38">
        <v>170</v>
      </c>
      <c r="F17" s="2"/>
      <c r="G17" s="2"/>
      <c r="H17" s="11">
        <v>60</v>
      </c>
      <c r="I17" s="133">
        <v>30</v>
      </c>
      <c r="J17" s="131">
        <v>0.5</v>
      </c>
      <c r="L17" s="35">
        <v>0.8</v>
      </c>
      <c r="M17" s="175">
        <f>1-L17</f>
        <v>0.19999999999999996</v>
      </c>
      <c r="N17" s="35">
        <v>1</v>
      </c>
    </row>
    <row r="18" spans="1:9" ht="12.75">
      <c r="A18" s="23"/>
      <c r="B18" s="23"/>
      <c r="C18" s="32" t="s">
        <v>15</v>
      </c>
      <c r="D18" s="41">
        <f>SUM(D16:D17)</f>
        <v>1</v>
      </c>
      <c r="E18" s="40">
        <f>E16*D16+E17*D17</f>
        <v>140.6</v>
      </c>
      <c r="F18" s="2"/>
      <c r="G18" s="2"/>
      <c r="I18" s="134"/>
    </row>
    <row r="19" spans="1:9" ht="12.75">
      <c r="A19" s="23"/>
      <c r="B19" s="23"/>
      <c r="C19" s="29"/>
      <c r="D19" s="164"/>
      <c r="E19" s="79"/>
      <c r="F19" s="2"/>
      <c r="G19" s="2"/>
      <c r="I19" s="134"/>
    </row>
    <row r="20" spans="1:13" ht="9" customHeight="1">
      <c r="A20" s="23"/>
      <c r="B20" s="23"/>
      <c r="C20" s="18"/>
      <c r="D20" s="164"/>
      <c r="E20" s="79"/>
      <c r="F20" s="2"/>
      <c r="G20" s="2"/>
      <c r="I20" s="134"/>
      <c r="L20" s="2"/>
      <c r="M20" s="2"/>
    </row>
    <row r="21" spans="1:14" ht="4.5" customHeight="1">
      <c r="A21" s="23"/>
      <c r="B21" s="23"/>
      <c r="C21" s="19"/>
      <c r="D21" s="169"/>
      <c r="E21" s="126"/>
      <c r="F21" s="20"/>
      <c r="G21" s="20"/>
      <c r="H21" s="20"/>
      <c r="I21" s="135"/>
      <c r="J21" s="20"/>
      <c r="K21" s="20"/>
      <c r="L21" s="20"/>
      <c r="M21" s="20"/>
      <c r="N21" s="20"/>
    </row>
    <row r="22" spans="1:9" ht="12.75">
      <c r="A22" s="23"/>
      <c r="B22" s="23"/>
      <c r="D22" s="187" t="s">
        <v>128</v>
      </c>
      <c r="E22" s="127"/>
      <c r="I22" s="134"/>
    </row>
    <row r="23" spans="1:10" ht="12.75">
      <c r="A23" s="23"/>
      <c r="B23" s="23"/>
      <c r="C23" s="21" t="s">
        <v>11</v>
      </c>
      <c r="D23" s="170"/>
      <c r="E23" s="128"/>
      <c r="F23" s="2"/>
      <c r="G23" s="2"/>
      <c r="H23" s="18"/>
      <c r="I23" s="136"/>
      <c r="J23" s="18"/>
    </row>
    <row r="24" spans="1:14" ht="12.75">
      <c r="A24" s="23"/>
      <c r="B24" s="23"/>
      <c r="C24" s="22" t="s">
        <v>12</v>
      </c>
      <c r="D24" s="49">
        <v>0.3</v>
      </c>
      <c r="E24" s="36">
        <v>350</v>
      </c>
      <c r="F24" s="2"/>
      <c r="G24" s="2"/>
      <c r="H24" s="7" t="s">
        <v>13</v>
      </c>
      <c r="I24" s="132">
        <v>0</v>
      </c>
      <c r="J24" s="130">
        <v>0</v>
      </c>
      <c r="L24" s="328" t="s">
        <v>108</v>
      </c>
      <c r="M24" s="328" t="s">
        <v>109</v>
      </c>
      <c r="N24" s="328" t="s">
        <v>110</v>
      </c>
    </row>
    <row r="25" spans="1:14" ht="12.75">
      <c r="A25" s="23"/>
      <c r="B25" s="23"/>
      <c r="C25" s="24" t="s">
        <v>14</v>
      </c>
      <c r="D25" s="166">
        <f>1-D24</f>
        <v>0.7</v>
      </c>
      <c r="E25" s="38">
        <v>500</v>
      </c>
      <c r="F25" s="2"/>
      <c r="G25" s="2"/>
      <c r="H25" s="11">
        <v>0</v>
      </c>
      <c r="I25" s="133">
        <v>0</v>
      </c>
      <c r="J25" s="131">
        <v>0</v>
      </c>
      <c r="L25" s="328"/>
      <c r="M25" s="328"/>
      <c r="N25" s="328"/>
    </row>
    <row r="26" spans="1:15" ht="12.75">
      <c r="A26" s="23"/>
      <c r="B26" s="23"/>
      <c r="C26" s="25" t="s">
        <v>15</v>
      </c>
      <c r="D26" s="41">
        <f>D25+D24</f>
        <v>1</v>
      </c>
      <c r="E26" s="40">
        <f>E24*D24+E25*D25</f>
        <v>455</v>
      </c>
      <c r="F26" s="2"/>
      <c r="G26" s="2"/>
      <c r="H26" s="23"/>
      <c r="I26" s="137"/>
      <c r="L26" s="35">
        <v>1</v>
      </c>
      <c r="M26" s="35">
        <v>0.95</v>
      </c>
      <c r="N26" s="175">
        <f>1-M26</f>
        <v>0.050000000000000044</v>
      </c>
      <c r="O26" s="26"/>
    </row>
    <row r="27" spans="1:15" ht="12.75">
      <c r="A27" s="23"/>
      <c r="B27" s="23"/>
      <c r="C27" s="29"/>
      <c r="D27" s="164"/>
      <c r="E27" s="28"/>
      <c r="F27" s="2"/>
      <c r="G27" s="2"/>
      <c r="H27" s="23"/>
      <c r="I27" s="137"/>
      <c r="L27" s="26"/>
      <c r="M27" s="23"/>
      <c r="O27" s="26"/>
    </row>
    <row r="28" spans="1:15" ht="12.75">
      <c r="A28" s="23"/>
      <c r="B28" s="23"/>
      <c r="C28" s="21" t="s">
        <v>220</v>
      </c>
      <c r="D28" s="168"/>
      <c r="E28" s="8"/>
      <c r="F28" s="8"/>
      <c r="G28" s="8"/>
      <c r="H28" s="299"/>
      <c r="I28" s="134"/>
      <c r="L28" s="328" t="s">
        <v>111</v>
      </c>
      <c r="M28" s="328" t="s">
        <v>112</v>
      </c>
      <c r="N28" s="328" t="s">
        <v>113</v>
      </c>
      <c r="O28" s="26"/>
    </row>
    <row r="29" spans="1:15" ht="12.75">
      <c r="A29" s="23"/>
      <c r="B29" s="23"/>
      <c r="C29" s="30" t="s">
        <v>16</v>
      </c>
      <c r="D29" s="49">
        <v>0.97</v>
      </c>
      <c r="E29" s="36">
        <v>175</v>
      </c>
      <c r="F29" s="2"/>
      <c r="G29" s="2"/>
      <c r="H29" s="7" t="s">
        <v>13</v>
      </c>
      <c r="I29" s="132">
        <v>10</v>
      </c>
      <c r="J29" s="37">
        <v>0.4534116279069767</v>
      </c>
      <c r="L29" s="328"/>
      <c r="M29" s="328"/>
      <c r="N29" s="328"/>
      <c r="O29" s="26"/>
    </row>
    <row r="30" spans="1:15" ht="12.75">
      <c r="A30" s="23"/>
      <c r="B30" s="23"/>
      <c r="C30" s="31" t="s">
        <v>17</v>
      </c>
      <c r="D30" s="166">
        <f>1-D29</f>
        <v>0.030000000000000027</v>
      </c>
      <c r="E30" s="38">
        <v>210</v>
      </c>
      <c r="F30" s="2"/>
      <c r="G30" s="2"/>
      <c r="H30" s="11">
        <v>20</v>
      </c>
      <c r="I30" s="133">
        <v>10</v>
      </c>
      <c r="J30" s="39">
        <v>0.5</v>
      </c>
      <c r="L30" s="35">
        <v>0.8</v>
      </c>
      <c r="M30" s="175">
        <f>1-L30</f>
        <v>0.19999999999999996</v>
      </c>
      <c r="N30" s="35">
        <v>1</v>
      </c>
      <c r="O30" s="26"/>
    </row>
    <row r="31" spans="1:15" ht="12.75">
      <c r="A31" s="23"/>
      <c r="B31" s="23"/>
      <c r="C31" s="32" t="s">
        <v>15</v>
      </c>
      <c r="D31" s="41">
        <f>SUM(D29:D30)</f>
        <v>1</v>
      </c>
      <c r="E31" s="40">
        <f>E29*D29+E30*D30</f>
        <v>176.05</v>
      </c>
      <c r="F31" s="2"/>
      <c r="G31" s="329"/>
      <c r="H31" s="72"/>
      <c r="I31" s="322"/>
      <c r="J31" s="323"/>
      <c r="O31" s="26"/>
    </row>
    <row r="32" spans="1:15" ht="12.75">
      <c r="A32" s="23"/>
      <c r="B32" s="23"/>
      <c r="C32" s="29"/>
      <c r="D32" s="164"/>
      <c r="E32" s="79"/>
      <c r="F32" s="2"/>
      <c r="G32" s="329"/>
      <c r="H32" s="18"/>
      <c r="I32" s="109"/>
      <c r="J32" s="74"/>
      <c r="O32" s="26"/>
    </row>
    <row r="33" spans="1:15" ht="9" customHeight="1">
      <c r="A33" s="23"/>
      <c r="B33" s="23"/>
      <c r="C33" s="18"/>
      <c r="D33" s="171"/>
      <c r="E33" s="33"/>
      <c r="F33" s="2"/>
      <c r="G33" s="329"/>
      <c r="H33" s="18"/>
      <c r="I33" s="109"/>
      <c r="J33" s="74"/>
      <c r="L33" s="2"/>
      <c r="M33" s="2"/>
      <c r="O33" s="26"/>
    </row>
    <row r="34" spans="1:14" ht="3.75" customHeight="1">
      <c r="A34" s="23"/>
      <c r="B34" s="23"/>
      <c r="C34" s="19"/>
      <c r="D34" s="169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4" ht="12.75">
      <c r="A35" s="23"/>
      <c r="B35" s="23"/>
      <c r="D35" s="187" t="s">
        <v>271</v>
      </c>
    </row>
    <row r="36" spans="1:14" ht="12.75">
      <c r="A36" s="23"/>
      <c r="B36" s="23"/>
      <c r="C36" s="21" t="s">
        <v>11</v>
      </c>
      <c r="D36" s="170"/>
      <c r="E36" s="15"/>
      <c r="F36" s="2"/>
      <c r="G36" s="2"/>
      <c r="H36" s="18"/>
      <c r="I36" s="18"/>
      <c r="J36" s="18"/>
      <c r="K36" s="18"/>
      <c r="L36" s="18"/>
      <c r="M36" s="18"/>
      <c r="N36" s="18"/>
    </row>
    <row r="37" spans="1:14" ht="12.75">
      <c r="A37" s="23"/>
      <c r="B37" s="23"/>
      <c r="C37" s="22" t="s">
        <v>12</v>
      </c>
      <c r="D37" s="49">
        <v>0.75</v>
      </c>
      <c r="E37" s="36">
        <v>112</v>
      </c>
      <c r="F37" s="2"/>
      <c r="G37" s="2"/>
      <c r="H37" s="7" t="s">
        <v>13</v>
      </c>
      <c r="I37" s="132">
        <v>0</v>
      </c>
      <c r="J37" s="130">
        <v>0</v>
      </c>
      <c r="L37" s="22" t="s">
        <v>20</v>
      </c>
      <c r="M37" s="22" t="s">
        <v>21</v>
      </c>
      <c r="N37" s="173">
        <v>0.85</v>
      </c>
    </row>
    <row r="38" spans="1:14" ht="12.75">
      <c r="A38" s="23"/>
      <c r="B38" s="23"/>
      <c r="C38" s="24" t="s">
        <v>14</v>
      </c>
      <c r="D38" s="166">
        <f>1-D37</f>
        <v>0.25</v>
      </c>
      <c r="E38" s="38">
        <v>112</v>
      </c>
      <c r="F38" s="2"/>
      <c r="G38" s="2"/>
      <c r="H38" s="11">
        <v>0</v>
      </c>
      <c r="I38" s="133">
        <v>0</v>
      </c>
      <c r="J38" s="131">
        <v>0</v>
      </c>
      <c r="L38" s="24" t="s">
        <v>22</v>
      </c>
      <c r="M38" s="24" t="s">
        <v>21</v>
      </c>
      <c r="N38" s="174">
        <v>0.15</v>
      </c>
    </row>
    <row r="39" spans="1:14" ht="12.75">
      <c r="A39" s="23"/>
      <c r="B39" s="23"/>
      <c r="C39" s="25" t="s">
        <v>15</v>
      </c>
      <c r="D39" s="172">
        <f>D38+D37</f>
        <v>1</v>
      </c>
      <c r="E39" s="40">
        <f>E37*D37+E38*D38</f>
        <v>112</v>
      </c>
      <c r="F39" s="2"/>
      <c r="G39" s="2"/>
      <c r="H39" s="23"/>
      <c r="I39" s="23"/>
      <c r="J39" s="18"/>
      <c r="K39" s="18"/>
      <c r="L39" s="48" t="s">
        <v>23</v>
      </c>
      <c r="M39" s="48" t="s">
        <v>21</v>
      </c>
      <c r="N39" s="176">
        <f>1-(N37+N38)</f>
        <v>0</v>
      </c>
    </row>
    <row r="40" spans="1:14" ht="12.75">
      <c r="A40" s="23"/>
      <c r="B40" s="23"/>
      <c r="C40" s="29"/>
      <c r="D40" s="164"/>
      <c r="E40" s="28"/>
      <c r="F40" s="2"/>
      <c r="G40" s="2"/>
      <c r="H40" s="23"/>
      <c r="I40" s="18"/>
      <c r="L40" s="22" t="s">
        <v>20</v>
      </c>
      <c r="M40" s="22" t="s">
        <v>24</v>
      </c>
      <c r="N40" s="173">
        <v>0</v>
      </c>
    </row>
    <row r="41" spans="1:14" ht="12.75">
      <c r="A41" s="23"/>
      <c r="B41" s="23"/>
      <c r="C41" s="21" t="s">
        <v>220</v>
      </c>
      <c r="D41" s="168"/>
      <c r="E41" s="8"/>
      <c r="F41" s="8"/>
      <c r="G41" s="8"/>
      <c r="L41" s="24" t="s">
        <v>22</v>
      </c>
      <c r="M41" s="24" t="s">
        <v>24</v>
      </c>
      <c r="N41" s="174">
        <v>0.8</v>
      </c>
    </row>
    <row r="42" spans="1:14" ht="12.75">
      <c r="A42" s="23"/>
      <c r="B42" s="23"/>
      <c r="C42" s="30" t="s">
        <v>16</v>
      </c>
      <c r="D42" s="49">
        <v>0.9</v>
      </c>
      <c r="E42" s="36">
        <v>105</v>
      </c>
      <c r="F42" s="2"/>
      <c r="G42" s="2"/>
      <c r="H42" s="7" t="s">
        <v>13</v>
      </c>
      <c r="I42" s="132">
        <v>0</v>
      </c>
      <c r="J42" s="130">
        <v>0</v>
      </c>
      <c r="L42" s="48" t="s">
        <v>23</v>
      </c>
      <c r="M42" s="48" t="s">
        <v>24</v>
      </c>
      <c r="N42" s="176">
        <f>1-(N40+N41)</f>
        <v>0.19999999999999996</v>
      </c>
    </row>
    <row r="43" spans="1:10" ht="12.75">
      <c r="A43" s="23"/>
      <c r="B43" s="23"/>
      <c r="C43" s="31" t="s">
        <v>17</v>
      </c>
      <c r="D43" s="166">
        <f>1-D42</f>
        <v>0.09999999999999998</v>
      </c>
      <c r="E43" s="38">
        <v>105</v>
      </c>
      <c r="F43" s="2"/>
      <c r="G43" s="2"/>
      <c r="H43" s="11">
        <v>0</v>
      </c>
      <c r="I43" s="133">
        <v>0</v>
      </c>
      <c r="J43" s="131">
        <v>0</v>
      </c>
    </row>
    <row r="44" spans="1:7" ht="12.75">
      <c r="A44" s="23"/>
      <c r="B44" s="23"/>
      <c r="C44" s="32" t="s">
        <v>15</v>
      </c>
      <c r="D44" s="41">
        <f>SUM(D42:D43)</f>
        <v>1</v>
      </c>
      <c r="E44" s="40">
        <f>E42*D42+E43*D43</f>
        <v>105</v>
      </c>
      <c r="F44" s="2"/>
      <c r="G44" s="2"/>
    </row>
  </sheetData>
  <sheetProtection sheet="1" objects="1" scenarios="1"/>
  <mergeCells count="14">
    <mergeCell ref="G31:G33"/>
    <mergeCell ref="L28:L29"/>
    <mergeCell ref="M28:M29"/>
    <mergeCell ref="N28:N29"/>
    <mergeCell ref="L15:L16"/>
    <mergeCell ref="M15:M16"/>
    <mergeCell ref="N15:N16"/>
    <mergeCell ref="L24:L25"/>
    <mergeCell ref="M24:M25"/>
    <mergeCell ref="N24:N25"/>
    <mergeCell ref="C4:C5"/>
    <mergeCell ref="L10:L11"/>
    <mergeCell ref="M10:M11"/>
    <mergeCell ref="N10:N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B1:J3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.7109375" style="1" customWidth="1"/>
    <col min="3" max="3" width="26.421875" style="1" customWidth="1"/>
    <col min="4" max="7" width="15.7109375" style="1" customWidth="1"/>
    <col min="8" max="16384" width="11.421875" style="1" customWidth="1"/>
  </cols>
  <sheetData>
    <row r="1" spans="2:9" ht="18" customHeight="1">
      <c r="B1" s="6"/>
      <c r="D1" s="21"/>
      <c r="E1" s="21"/>
      <c r="F1" s="21"/>
      <c r="G1" s="21"/>
      <c r="H1" s="21"/>
      <c r="I1" s="6"/>
    </row>
    <row r="2" spans="2:7" ht="12.75">
      <c r="B2" s="3"/>
      <c r="C2" s="3" t="s">
        <v>183</v>
      </c>
      <c r="D2" s="3"/>
      <c r="E2" s="3"/>
      <c r="F2" s="47"/>
      <c r="G2" s="3"/>
    </row>
    <row r="3" spans="3:7" ht="12.75">
      <c r="C3" s="6"/>
      <c r="D3" s="6"/>
      <c r="E3" s="6"/>
      <c r="F3" s="6"/>
      <c r="G3" s="6"/>
    </row>
    <row r="4" spans="3:7" ht="12.75">
      <c r="C4" s="21"/>
      <c r="D4" s="330" t="s">
        <v>25</v>
      </c>
      <c r="E4" s="50" t="s">
        <v>26</v>
      </c>
      <c r="F4" s="332" t="s">
        <v>176</v>
      </c>
      <c r="G4" s="333"/>
    </row>
    <row r="5" spans="3:7" ht="12.75" customHeight="1">
      <c r="C5" s="21"/>
      <c r="D5" s="331"/>
      <c r="E5" s="51" t="s">
        <v>27</v>
      </c>
      <c r="F5" s="52" t="s">
        <v>28</v>
      </c>
      <c r="G5" s="52" t="s">
        <v>29</v>
      </c>
    </row>
    <row r="6" spans="3:7" ht="12.75">
      <c r="C6" s="21"/>
      <c r="D6" s="6"/>
      <c r="E6" s="6"/>
      <c r="F6" s="6"/>
      <c r="G6" s="6"/>
    </row>
    <row r="7" spans="3:7" ht="3" customHeight="1">
      <c r="C7" s="19"/>
      <c r="D7" s="20"/>
      <c r="E7" s="20"/>
      <c r="F7" s="20"/>
      <c r="G7" s="20"/>
    </row>
    <row r="8" spans="3:7" ht="12" customHeight="1">
      <c r="C8" s="21"/>
      <c r="D8" s="186" t="s">
        <v>18</v>
      </c>
      <c r="E8" s="6"/>
      <c r="F8" s="6"/>
      <c r="G8" s="6"/>
    </row>
    <row r="9" spans="4:7" ht="12.75">
      <c r="D9" s="21"/>
      <c r="E9" s="21"/>
      <c r="F9" s="21"/>
      <c r="G9" s="21"/>
    </row>
    <row r="10" spans="2:10" s="138" customFormat="1" ht="19.5" customHeight="1">
      <c r="B10" s="1"/>
      <c r="C10" s="196" t="s">
        <v>11</v>
      </c>
      <c r="D10" s="282">
        <v>6.5</v>
      </c>
      <c r="E10" s="283">
        <v>0</v>
      </c>
      <c r="F10" s="284">
        <v>2.3</v>
      </c>
      <c r="G10" s="284">
        <v>1.2</v>
      </c>
      <c r="H10" s="1"/>
      <c r="I10" s="1"/>
      <c r="J10" s="1"/>
    </row>
    <row r="11" spans="4:7" ht="12.75">
      <c r="D11" s="285"/>
      <c r="E11" s="286"/>
      <c r="F11" s="285"/>
      <c r="G11" s="285"/>
    </row>
    <row r="12" spans="2:10" s="138" customFormat="1" ht="19.5" customHeight="1">
      <c r="B12" s="1"/>
      <c r="C12" s="21" t="s">
        <v>220</v>
      </c>
      <c r="D12" s="282">
        <v>7.6</v>
      </c>
      <c r="E12" s="283">
        <v>60</v>
      </c>
      <c r="F12" s="284">
        <v>2.4</v>
      </c>
      <c r="G12" s="284">
        <v>1.5</v>
      </c>
      <c r="H12" s="1"/>
      <c r="I12" s="1"/>
      <c r="J12" s="1"/>
    </row>
    <row r="13" spans="4:7" ht="12.75">
      <c r="D13" s="287"/>
      <c r="E13" s="286"/>
      <c r="F13" s="285"/>
      <c r="G13" s="285"/>
    </row>
    <row r="14" spans="3:7" ht="3" customHeight="1">
      <c r="C14" s="19"/>
      <c r="D14" s="288"/>
      <c r="E14" s="289"/>
      <c r="F14" s="290"/>
      <c r="G14" s="290"/>
    </row>
    <row r="15" spans="3:7" ht="12.75">
      <c r="C15" s="21"/>
      <c r="D15" s="291" t="s">
        <v>128</v>
      </c>
      <c r="E15" s="84"/>
      <c r="F15" s="292"/>
      <c r="G15" s="292"/>
    </row>
    <row r="16" spans="4:7" ht="12.75">
      <c r="D16" s="287"/>
      <c r="E16" s="286"/>
      <c r="F16" s="285"/>
      <c r="G16" s="285"/>
    </row>
    <row r="17" spans="2:10" s="138" customFormat="1" ht="19.5" customHeight="1">
      <c r="B17" s="1"/>
      <c r="C17" s="196" t="s">
        <v>11</v>
      </c>
      <c r="D17" s="282">
        <v>8.8</v>
      </c>
      <c r="E17" s="283">
        <v>0</v>
      </c>
      <c r="F17" s="284">
        <v>6.2</v>
      </c>
      <c r="G17" s="284">
        <v>4.2</v>
      </c>
      <c r="H17" s="1"/>
      <c r="I17" s="1"/>
      <c r="J17" s="1"/>
    </row>
    <row r="18" spans="4:7" ht="12.75">
      <c r="D18" s="285"/>
      <c r="E18" s="286"/>
      <c r="F18" s="285"/>
      <c r="G18" s="285"/>
    </row>
    <row r="19" spans="2:10" s="138" customFormat="1" ht="19.5" customHeight="1">
      <c r="B19" s="1"/>
      <c r="C19" s="21" t="s">
        <v>220</v>
      </c>
      <c r="D19" s="282">
        <v>7.6</v>
      </c>
      <c r="E19" s="283">
        <v>20</v>
      </c>
      <c r="F19" s="284">
        <v>6.1</v>
      </c>
      <c r="G19" s="284">
        <v>4.6</v>
      </c>
      <c r="H19" s="1"/>
      <c r="I19" s="1"/>
      <c r="J19" s="1"/>
    </row>
    <row r="20" spans="4:7" ht="12.75">
      <c r="D20" s="285"/>
      <c r="E20" s="286"/>
      <c r="F20" s="285"/>
      <c r="G20" s="285"/>
    </row>
    <row r="21" spans="3:7" ht="2.25" customHeight="1">
      <c r="C21" s="19"/>
      <c r="D21" s="288"/>
      <c r="E21" s="289"/>
      <c r="F21" s="290"/>
      <c r="G21" s="290"/>
    </row>
    <row r="22" spans="3:7" ht="12.75">
      <c r="C22" s="21"/>
      <c r="D22" s="291" t="s">
        <v>19</v>
      </c>
      <c r="E22" s="84"/>
      <c r="F22" s="292"/>
      <c r="G22" s="292"/>
    </row>
    <row r="23" spans="3:7" ht="12.75">
      <c r="C23" s="197"/>
      <c r="D23" s="293"/>
      <c r="E23" s="294"/>
      <c r="F23" s="295"/>
      <c r="G23" s="295"/>
    </row>
    <row r="24" spans="3:7" ht="12.75">
      <c r="C24" s="197"/>
      <c r="D24" s="296" t="s">
        <v>180</v>
      </c>
      <c r="E24" s="286"/>
      <c r="F24" s="285"/>
      <c r="G24" s="285"/>
    </row>
    <row r="25" spans="2:10" s="138" customFormat="1" ht="19.5" customHeight="1">
      <c r="B25" s="1"/>
      <c r="C25" s="196" t="s">
        <v>11</v>
      </c>
      <c r="D25" s="282">
        <v>15</v>
      </c>
      <c r="E25" s="283">
        <v>0</v>
      </c>
      <c r="F25" s="284">
        <v>9.1</v>
      </c>
      <c r="G25" s="284">
        <v>5</v>
      </c>
      <c r="H25" s="280"/>
      <c r="I25" s="1"/>
      <c r="J25" s="1"/>
    </row>
    <row r="26" spans="3:8" ht="12.75">
      <c r="C26" s="197"/>
      <c r="D26" s="285"/>
      <c r="E26" s="286"/>
      <c r="F26" s="285"/>
      <c r="G26" s="285"/>
      <c r="H26" s="280"/>
    </row>
    <row r="27" spans="2:9" s="138" customFormat="1" ht="19.5" customHeight="1">
      <c r="B27" s="1"/>
      <c r="C27" s="21" t="s">
        <v>220</v>
      </c>
      <c r="D27" s="282">
        <v>17.5</v>
      </c>
      <c r="E27" s="283">
        <v>0</v>
      </c>
      <c r="F27" s="284">
        <v>6.9</v>
      </c>
      <c r="G27" s="284">
        <v>6.9</v>
      </c>
      <c r="H27" s="281"/>
      <c r="I27" s="141"/>
    </row>
    <row r="28" spans="3:9" ht="12.75">
      <c r="C28" s="197"/>
      <c r="D28" s="287"/>
      <c r="E28" s="286"/>
      <c r="F28" s="285"/>
      <c r="G28" s="285"/>
      <c r="H28" s="21"/>
      <c r="I28" s="6"/>
    </row>
    <row r="29" spans="3:9" ht="12.75">
      <c r="C29" s="197"/>
      <c r="D29" s="287" t="s">
        <v>32</v>
      </c>
      <c r="E29" s="286"/>
      <c r="F29" s="285"/>
      <c r="G29" s="285"/>
      <c r="H29" s="21"/>
      <c r="I29" s="6"/>
    </row>
    <row r="30" spans="2:9" s="138" customFormat="1" ht="19.5" customHeight="1">
      <c r="B30" s="1"/>
      <c r="C30" s="196" t="s">
        <v>11</v>
      </c>
      <c r="D30" s="282">
        <v>15</v>
      </c>
      <c r="E30" s="283">
        <v>0</v>
      </c>
      <c r="F30" s="284">
        <v>12.2</v>
      </c>
      <c r="G30" s="284">
        <v>6.6</v>
      </c>
      <c r="H30" s="141"/>
      <c r="I30" s="141"/>
    </row>
    <row r="31" spans="3:9" ht="12.75">
      <c r="C31" s="197"/>
      <c r="D31" s="285"/>
      <c r="E31" s="286"/>
      <c r="F31" s="285"/>
      <c r="G31" s="285"/>
      <c r="H31" s="21"/>
      <c r="I31" s="6"/>
    </row>
    <row r="32" spans="2:9" s="138" customFormat="1" ht="19.5" customHeight="1">
      <c r="B32" s="1"/>
      <c r="C32" s="21" t="s">
        <v>220</v>
      </c>
      <c r="D32" s="282">
        <v>17.5</v>
      </c>
      <c r="E32" s="283">
        <v>0</v>
      </c>
      <c r="F32" s="284">
        <v>9.3</v>
      </c>
      <c r="G32" s="284">
        <v>9.3</v>
      </c>
      <c r="H32" s="139"/>
      <c r="I32" s="141"/>
    </row>
  </sheetData>
  <sheetProtection sheet="1" objects="1" scenarios="1"/>
  <mergeCells count="2">
    <mergeCell ref="D4:D5"/>
    <mergeCell ref="F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B2:O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.7109375" style="1" customWidth="1"/>
    <col min="3" max="11" width="11.421875" style="1" customWidth="1"/>
    <col min="12" max="12" width="11.421875" style="272" customWidth="1"/>
    <col min="13" max="16384" width="11.421875" style="1" customWidth="1"/>
  </cols>
  <sheetData>
    <row r="1" ht="18" customHeight="1"/>
    <row r="2" spans="2:15" ht="12.75">
      <c r="B2" s="3"/>
      <c r="C2" s="3" t="s">
        <v>42</v>
      </c>
      <c r="D2" s="3"/>
      <c r="E2" s="4"/>
      <c r="F2" s="4"/>
      <c r="G2" s="4"/>
      <c r="H2" s="4"/>
      <c r="I2" s="4"/>
      <c r="J2" s="3"/>
      <c r="K2" s="4"/>
      <c r="L2" s="311"/>
      <c r="M2" s="4"/>
      <c r="N2" s="4"/>
      <c r="O2" s="4"/>
    </row>
    <row r="3" spans="2:15" ht="12.75">
      <c r="B3" s="2"/>
      <c r="C3" s="21"/>
      <c r="D3" s="21"/>
      <c r="E3" s="21"/>
      <c r="F3" s="21"/>
      <c r="G3" s="21"/>
      <c r="H3" s="21"/>
      <c r="I3" s="6"/>
      <c r="J3" s="6"/>
      <c r="K3" s="6"/>
      <c r="L3" s="42"/>
      <c r="M3" s="6"/>
      <c r="N3" s="6"/>
      <c r="O3" s="6"/>
    </row>
    <row r="4" spans="2:15" ht="12.75">
      <c r="B4" s="2"/>
      <c r="C4" s="6"/>
      <c r="D4" s="53" t="s">
        <v>33</v>
      </c>
      <c r="E4" s="54" t="s">
        <v>36</v>
      </c>
      <c r="F4" s="54"/>
      <c r="G4" s="64" t="s">
        <v>37</v>
      </c>
      <c r="H4" s="65"/>
      <c r="I4" s="53" t="s">
        <v>38</v>
      </c>
      <c r="J4" s="53" t="s">
        <v>39</v>
      </c>
      <c r="K4" s="66" t="s">
        <v>40</v>
      </c>
      <c r="L4" s="312"/>
      <c r="M4" s="53" t="s">
        <v>34</v>
      </c>
      <c r="N4" s="55" t="s">
        <v>262</v>
      </c>
      <c r="O4" s="53" t="s">
        <v>125</v>
      </c>
    </row>
    <row r="5" spans="3:15" ht="12.75">
      <c r="C5" s="18"/>
      <c r="D5" s="11"/>
      <c r="E5" s="56" t="s">
        <v>7</v>
      </c>
      <c r="F5" s="57" t="s">
        <v>35</v>
      </c>
      <c r="G5" s="56" t="s">
        <v>7</v>
      </c>
      <c r="H5" s="57" t="s">
        <v>35</v>
      </c>
      <c r="I5" s="11"/>
      <c r="J5" s="11" t="s">
        <v>290</v>
      </c>
      <c r="K5" s="56" t="s">
        <v>7</v>
      </c>
      <c r="L5" s="313" t="s">
        <v>35</v>
      </c>
      <c r="M5" s="11"/>
      <c r="N5" s="51"/>
      <c r="O5" s="11"/>
    </row>
    <row r="6" spans="3:15" ht="12.75">
      <c r="C6" s="18"/>
      <c r="D6" s="72"/>
      <c r="E6" s="72"/>
      <c r="F6" s="72"/>
      <c r="G6" s="72"/>
      <c r="H6" s="72"/>
      <c r="I6" s="72"/>
      <c r="J6" s="72"/>
      <c r="K6" s="72"/>
      <c r="L6" s="314"/>
      <c r="M6" s="72"/>
      <c r="N6" s="72"/>
      <c r="O6" s="18"/>
    </row>
    <row r="7" spans="3:15" ht="3" customHeight="1">
      <c r="C7" s="19"/>
      <c r="D7" s="20"/>
      <c r="E7" s="20"/>
      <c r="F7" s="20"/>
      <c r="G7" s="20"/>
      <c r="H7" s="20"/>
      <c r="I7" s="20"/>
      <c r="J7" s="20"/>
      <c r="K7" s="20"/>
      <c r="L7" s="273"/>
      <c r="M7" s="20"/>
      <c r="N7" s="20"/>
      <c r="O7" s="20"/>
    </row>
    <row r="8" spans="4:15" ht="12.75">
      <c r="D8" s="186" t="s">
        <v>18</v>
      </c>
      <c r="E8" s="18"/>
      <c r="F8" s="18"/>
      <c r="G8" s="18"/>
      <c r="H8" s="18"/>
      <c r="I8" s="18"/>
      <c r="J8" s="18"/>
      <c r="K8" s="18"/>
      <c r="L8" s="274"/>
      <c r="M8" s="18"/>
      <c r="N8" s="18"/>
      <c r="O8" s="18"/>
    </row>
    <row r="9" spans="3:15" ht="12.75">
      <c r="C9" s="196" t="s">
        <v>11</v>
      </c>
      <c r="E9" s="18"/>
      <c r="F9" s="18"/>
      <c r="G9" s="18"/>
      <c r="H9" s="18"/>
      <c r="I9" s="18"/>
      <c r="J9" s="18"/>
      <c r="K9" s="18"/>
      <c r="L9" s="274"/>
      <c r="M9" s="18"/>
      <c r="N9" s="18"/>
      <c r="O9" s="18"/>
    </row>
    <row r="10" spans="3:15" ht="12.75">
      <c r="C10" s="58" t="s">
        <v>45</v>
      </c>
      <c r="D10" s="245">
        <f>'Profils d''appel'!D11</f>
        <v>0.53</v>
      </c>
      <c r="E10" s="265">
        <f>'Profils d''appel'!E11</f>
        <v>200</v>
      </c>
      <c r="F10" s="59">
        <f>E10/60</f>
        <v>3.3333333333333335</v>
      </c>
      <c r="G10" s="265">
        <f>'Profils d''appel'!I11</f>
        <v>0</v>
      </c>
      <c r="H10" s="267">
        <f>G10/60</f>
        <v>0</v>
      </c>
      <c r="I10" s="245">
        <v>0</v>
      </c>
      <c r="J10" s="60">
        <f>'Tarifs de détail FT'!D10</f>
        <v>6.5</v>
      </c>
      <c r="K10" s="269">
        <f>'Tarifs de détail FT'!E10</f>
        <v>0</v>
      </c>
      <c r="L10" s="67">
        <f>K10/60</f>
        <v>0</v>
      </c>
      <c r="M10" s="60">
        <f>'Tarifs de détail FT'!F10</f>
        <v>2.3</v>
      </c>
      <c r="N10" s="68">
        <f>I10*J10+(1-I10)*(J10+((F10-I10*H10)/(1-I10)-L10)*M10)</f>
        <v>14.166666666666666</v>
      </c>
      <c r="O10" s="60">
        <f>N10/F10</f>
        <v>4.25</v>
      </c>
    </row>
    <row r="11" spans="3:15" ht="12.75">
      <c r="C11" s="61" t="s">
        <v>47</v>
      </c>
      <c r="D11" s="176">
        <f>1-D10</f>
        <v>0.47</v>
      </c>
      <c r="E11" s="266">
        <f>'Profils d''appel'!E12</f>
        <v>250</v>
      </c>
      <c r="F11" s="62">
        <f>E11/60</f>
        <v>4.166666666666667</v>
      </c>
      <c r="G11" s="266">
        <f>'Profils d''appel'!I12</f>
        <v>0</v>
      </c>
      <c r="H11" s="268">
        <f>G11/60</f>
        <v>0</v>
      </c>
      <c r="I11" s="176">
        <v>0</v>
      </c>
      <c r="J11" s="63">
        <f>'Tarifs de détail FT'!D10</f>
        <v>6.5</v>
      </c>
      <c r="K11" s="270">
        <f>'Tarifs de détail FT'!E10</f>
        <v>0</v>
      </c>
      <c r="L11" s="70">
        <f>K11/60</f>
        <v>0</v>
      </c>
      <c r="M11" s="63">
        <f>'Tarifs de détail FT'!G10</f>
        <v>1.2</v>
      </c>
      <c r="N11" s="71">
        <f>I11*J11+(1-I11)*(J11+((F11-I11*H11)/(1-I11)-L11)*M11)</f>
        <v>11.5</v>
      </c>
      <c r="O11" s="63">
        <f>N11/F11</f>
        <v>2.76</v>
      </c>
    </row>
    <row r="12" spans="4:15" ht="12.75">
      <c r="D12" s="244"/>
      <c r="E12" s="109"/>
      <c r="F12" s="6"/>
      <c r="G12" s="109"/>
      <c r="H12" s="6"/>
      <c r="I12" s="244"/>
      <c r="J12" s="42"/>
      <c r="K12" s="271"/>
      <c r="L12" s="42"/>
      <c r="N12" s="88" t="s">
        <v>181</v>
      </c>
      <c r="O12" s="275">
        <f>SUMPRODUCT(D10:D11,O10:O11)</f>
        <v>3.5496999999999996</v>
      </c>
    </row>
    <row r="13" spans="3:14" ht="12.75">
      <c r="C13" s="21" t="s">
        <v>220</v>
      </c>
      <c r="D13" s="246"/>
      <c r="E13" s="134"/>
      <c r="G13" s="134"/>
      <c r="I13" s="246"/>
      <c r="J13" s="272"/>
      <c r="K13" s="134"/>
      <c r="N13" s="198"/>
    </row>
    <row r="14" spans="3:15" ht="12.75">
      <c r="C14" s="58" t="s">
        <v>41</v>
      </c>
      <c r="D14" s="245">
        <f>'Profils d''appel'!D16</f>
        <v>0.98</v>
      </c>
      <c r="E14" s="265">
        <f>'Profils d''appel'!E16</f>
        <v>140</v>
      </c>
      <c r="F14" s="59">
        <f>E14/60</f>
        <v>2.3333333333333335</v>
      </c>
      <c r="G14" s="265">
        <f>'Profils d''appel'!I16</f>
        <v>30</v>
      </c>
      <c r="H14" s="59">
        <f>G14/60</f>
        <v>0.5</v>
      </c>
      <c r="I14" s="245">
        <f>'Profils d''appel'!J16</f>
        <v>0.45</v>
      </c>
      <c r="J14" s="60">
        <f>'Tarifs de détail FT'!D12</f>
        <v>7.6</v>
      </c>
      <c r="K14" s="269">
        <f>'Tarifs de détail FT'!E12</f>
        <v>60</v>
      </c>
      <c r="L14" s="67">
        <f>K14/60</f>
        <v>1</v>
      </c>
      <c r="M14" s="60">
        <f>'Tarifs de détail FT'!F12</f>
        <v>2.4</v>
      </c>
      <c r="N14" s="68">
        <f>I14*J14+(1-I14)*(J14+((F14-I14*H14)/(1-I14)-L14)*M14)</f>
        <v>11.34</v>
      </c>
      <c r="O14" s="60">
        <f>N14/F14</f>
        <v>4.859999999999999</v>
      </c>
    </row>
    <row r="15" spans="3:15" ht="12.75">
      <c r="C15" s="61" t="s">
        <v>28</v>
      </c>
      <c r="D15" s="176">
        <f>1-D14</f>
        <v>0.020000000000000018</v>
      </c>
      <c r="E15" s="266">
        <f>'Profils d''appel'!E17</f>
        <v>170</v>
      </c>
      <c r="F15" s="62">
        <f>E15/60</f>
        <v>2.8333333333333335</v>
      </c>
      <c r="G15" s="266">
        <f>'Profils d''appel'!I17</f>
        <v>30</v>
      </c>
      <c r="H15" s="69">
        <f>G15/60</f>
        <v>0.5</v>
      </c>
      <c r="I15" s="176">
        <f>'Profils d''appel'!J17</f>
        <v>0.5</v>
      </c>
      <c r="J15" s="63">
        <f>'Tarifs de détail FT'!D12</f>
        <v>7.6</v>
      </c>
      <c r="K15" s="270">
        <f>'Tarifs de détail FT'!E12</f>
        <v>60</v>
      </c>
      <c r="L15" s="70">
        <f>K15/60</f>
        <v>1</v>
      </c>
      <c r="M15" s="63">
        <f>'Tarifs de détail FT'!G12</f>
        <v>1.5</v>
      </c>
      <c r="N15" s="71">
        <f>I15*J15+(1-I15)*(J15+((F15-I15*H15)/(1-I15)-L15)*M15)</f>
        <v>10.725</v>
      </c>
      <c r="O15" s="63">
        <f>N15/F15</f>
        <v>3.7852941176470587</v>
      </c>
    </row>
    <row r="16" spans="3:15" ht="12.75">
      <c r="C16" s="21"/>
      <c r="D16" s="244"/>
      <c r="E16" s="109"/>
      <c r="F16" s="6"/>
      <c r="G16" s="109"/>
      <c r="H16" s="6"/>
      <c r="I16" s="244"/>
      <c r="J16" s="42"/>
      <c r="K16" s="271"/>
      <c r="L16" s="42"/>
      <c r="M16" s="42"/>
      <c r="N16" s="88" t="s">
        <v>181</v>
      </c>
      <c r="O16" s="275">
        <f>SUMPRODUCT(D14:D15,O14:O15)</f>
        <v>4.8385058823529405</v>
      </c>
    </row>
    <row r="17" spans="4:14" ht="9" customHeight="1">
      <c r="D17" s="246"/>
      <c r="E17" s="134"/>
      <c r="G17" s="134"/>
      <c r="I17" s="246"/>
      <c r="J17" s="272"/>
      <c r="K17" s="134"/>
      <c r="N17" s="198"/>
    </row>
    <row r="18" spans="3:15" ht="3" customHeight="1">
      <c r="C18" s="19"/>
      <c r="D18" s="169"/>
      <c r="E18" s="135"/>
      <c r="F18" s="20"/>
      <c r="G18" s="135"/>
      <c r="H18" s="20"/>
      <c r="I18" s="169"/>
      <c r="J18" s="273"/>
      <c r="K18" s="135"/>
      <c r="L18" s="273"/>
      <c r="M18" s="20"/>
      <c r="N18" s="20"/>
      <c r="O18" s="20"/>
    </row>
    <row r="19" spans="4:15" ht="12.75">
      <c r="D19" s="187" t="s">
        <v>128</v>
      </c>
      <c r="E19" s="136"/>
      <c r="F19" s="18"/>
      <c r="G19" s="136"/>
      <c r="H19" s="18"/>
      <c r="I19" s="171"/>
      <c r="J19" s="274"/>
      <c r="K19" s="136"/>
      <c r="L19" s="274"/>
      <c r="M19" s="18"/>
      <c r="N19" s="18"/>
      <c r="O19" s="18"/>
    </row>
    <row r="20" spans="3:15" ht="12.75">
      <c r="C20" s="196" t="s">
        <v>11</v>
      </c>
      <c r="D20" s="246"/>
      <c r="E20" s="136"/>
      <c r="F20" s="18"/>
      <c r="G20" s="136"/>
      <c r="H20" s="18"/>
      <c r="I20" s="171"/>
      <c r="J20" s="274"/>
      <c r="K20" s="136"/>
      <c r="L20" s="274"/>
      <c r="M20" s="18"/>
      <c r="N20" s="18"/>
      <c r="O20" s="18"/>
    </row>
    <row r="21" spans="3:15" ht="12.75">
      <c r="C21" s="58" t="s">
        <v>45</v>
      </c>
      <c r="D21" s="245">
        <f>'Profils d''appel'!D24</f>
        <v>0.3</v>
      </c>
      <c r="E21" s="265">
        <f>'Profils d''appel'!E24</f>
        <v>350</v>
      </c>
      <c r="F21" s="59">
        <f>E21/60</f>
        <v>5.833333333333333</v>
      </c>
      <c r="G21" s="265">
        <f>'Profils d''appel'!I24</f>
        <v>0</v>
      </c>
      <c r="H21" s="267">
        <f>G21/60</f>
        <v>0</v>
      </c>
      <c r="I21" s="245">
        <v>0</v>
      </c>
      <c r="J21" s="60">
        <f>'Tarifs de détail FT'!D17</f>
        <v>8.8</v>
      </c>
      <c r="K21" s="269">
        <f>'Tarifs de détail FT'!E17</f>
        <v>0</v>
      </c>
      <c r="L21" s="67">
        <f>K21/60</f>
        <v>0</v>
      </c>
      <c r="M21" s="60">
        <f>'Tarifs de détail FT'!F17</f>
        <v>6.2</v>
      </c>
      <c r="N21" s="68">
        <f>I21*J21+(1-I21)*(J21+((F21-I21*H21)/(1-I21)-L21)*M21)</f>
        <v>44.96666666666667</v>
      </c>
      <c r="O21" s="60">
        <f>N21/F21</f>
        <v>7.708571428571429</v>
      </c>
    </row>
    <row r="22" spans="3:15" ht="12.75">
      <c r="C22" s="61" t="s">
        <v>47</v>
      </c>
      <c r="D22" s="176">
        <f>1-D21</f>
        <v>0.7</v>
      </c>
      <c r="E22" s="266">
        <f>'Profils d''appel'!E25</f>
        <v>500</v>
      </c>
      <c r="F22" s="62">
        <f>E22/60</f>
        <v>8.333333333333334</v>
      </c>
      <c r="G22" s="266">
        <f>'Profils d''appel'!I25</f>
        <v>0</v>
      </c>
      <c r="H22" s="268">
        <f>G22/60</f>
        <v>0</v>
      </c>
      <c r="I22" s="176">
        <v>0</v>
      </c>
      <c r="J22" s="63">
        <f>'Tarifs de détail FT'!D17</f>
        <v>8.8</v>
      </c>
      <c r="K22" s="270">
        <f>'Tarifs de détail FT'!E17</f>
        <v>0</v>
      </c>
      <c r="L22" s="70">
        <f>K22/60</f>
        <v>0</v>
      </c>
      <c r="M22" s="63">
        <f>'Tarifs de détail FT'!G17</f>
        <v>4.2</v>
      </c>
      <c r="N22" s="71">
        <f>I22*J22+(1-I22)*(J22+((F22-I22*H22)/(1-I22)-L22)*M22)</f>
        <v>43.80000000000001</v>
      </c>
      <c r="O22" s="63">
        <f>N22/F22</f>
        <v>5.256000000000001</v>
      </c>
    </row>
    <row r="23" spans="3:15" ht="12.75">
      <c r="C23" s="21"/>
      <c r="D23" s="244"/>
      <c r="E23" s="109"/>
      <c r="F23" s="6"/>
      <c r="G23" s="109"/>
      <c r="H23" s="6"/>
      <c r="I23" s="244"/>
      <c r="J23" s="42"/>
      <c r="K23" s="271"/>
      <c r="L23" s="42"/>
      <c r="M23" s="42"/>
      <c r="N23" s="88" t="s">
        <v>181</v>
      </c>
      <c r="O23" s="275">
        <f>SUMPRODUCT(D21:D22,O21:O22)</f>
        <v>5.991771428571429</v>
      </c>
    </row>
    <row r="24" spans="3:14" ht="12.75">
      <c r="C24" s="21" t="s">
        <v>220</v>
      </c>
      <c r="D24" s="246"/>
      <c r="E24" s="134"/>
      <c r="G24" s="134"/>
      <c r="I24" s="246"/>
      <c r="J24" s="272"/>
      <c r="K24" s="134"/>
      <c r="N24" s="198"/>
    </row>
    <row r="25" spans="3:15" ht="12.75">
      <c r="C25" s="58" t="s">
        <v>41</v>
      </c>
      <c r="D25" s="245">
        <f>'Profils d''appel'!D29</f>
        <v>0.97</v>
      </c>
      <c r="E25" s="265">
        <f>'Profils d''appel'!E29</f>
        <v>175</v>
      </c>
      <c r="F25" s="59">
        <f>E25/60</f>
        <v>2.9166666666666665</v>
      </c>
      <c r="G25" s="265">
        <f>'Profils d''appel'!I29</f>
        <v>10</v>
      </c>
      <c r="H25" s="59">
        <f>G25/60</f>
        <v>0.16666666666666666</v>
      </c>
      <c r="I25" s="245">
        <f>'Profils d''appel'!J29</f>
        <v>0.4534116279069767</v>
      </c>
      <c r="J25" s="60">
        <f>'Tarifs de détail FT'!D19</f>
        <v>7.6</v>
      </c>
      <c r="K25" s="269">
        <f>'Tarifs de détail FT'!E19</f>
        <v>20</v>
      </c>
      <c r="L25" s="67">
        <f>K25/60</f>
        <v>0.3333333333333333</v>
      </c>
      <c r="M25" s="60">
        <f>'Tarifs de détail FT'!F19</f>
        <v>6.1</v>
      </c>
      <c r="N25" s="68">
        <f>I25*J25+(1-I25)*(J25+((F25-I25*H25)/(1-I25)-L25)*M25)</f>
        <v>23.819301821705423</v>
      </c>
      <c r="O25" s="60">
        <f>N25/F25</f>
        <v>8.16661776744186</v>
      </c>
    </row>
    <row r="26" spans="3:15" ht="12.75">
      <c r="C26" s="61" t="s">
        <v>28</v>
      </c>
      <c r="D26" s="176">
        <f>1-D25</f>
        <v>0.030000000000000027</v>
      </c>
      <c r="E26" s="266">
        <f>'Profils d''appel'!E30</f>
        <v>210</v>
      </c>
      <c r="F26" s="62">
        <f>E26/60</f>
        <v>3.5</v>
      </c>
      <c r="G26" s="266">
        <f>'Profils d''appel'!I30</f>
        <v>10</v>
      </c>
      <c r="H26" s="69">
        <f>G26/60</f>
        <v>0.16666666666666666</v>
      </c>
      <c r="I26" s="176">
        <f>'Profils d''appel'!J30</f>
        <v>0.5</v>
      </c>
      <c r="J26" s="63">
        <f>'Tarifs de détail FT'!D19</f>
        <v>7.6</v>
      </c>
      <c r="K26" s="270">
        <f>'Tarifs de détail FT'!E19</f>
        <v>20</v>
      </c>
      <c r="L26" s="70">
        <f>K26/60</f>
        <v>0.3333333333333333</v>
      </c>
      <c r="M26" s="63">
        <f>'Tarifs de détail FT'!G19</f>
        <v>4.6</v>
      </c>
      <c r="N26" s="71">
        <f>I26*J26+(1-I26)*(J26+((F26-I26*H26)/(1-I26)-L26)*M26)</f>
        <v>22.55</v>
      </c>
      <c r="O26" s="63">
        <f>N26/F26</f>
        <v>6.442857142857143</v>
      </c>
    </row>
    <row r="27" spans="3:15" ht="12.75">
      <c r="C27" s="21"/>
      <c r="D27" s="244"/>
      <c r="E27" s="109"/>
      <c r="F27" s="6"/>
      <c r="G27" s="109"/>
      <c r="H27" s="6"/>
      <c r="I27" s="244"/>
      <c r="J27" s="42"/>
      <c r="K27" s="271"/>
      <c r="L27" s="42"/>
      <c r="M27" s="42"/>
      <c r="N27" s="88" t="s">
        <v>181</v>
      </c>
      <c r="O27" s="275">
        <f>SUMPRODUCT(D25:D26,O25:O26)</f>
        <v>8.114904948704318</v>
      </c>
    </row>
    <row r="28" spans="4:14" ht="9" customHeight="1">
      <c r="D28" s="246"/>
      <c r="E28" s="134"/>
      <c r="G28" s="134"/>
      <c r="I28" s="246"/>
      <c r="J28" s="272"/>
      <c r="K28" s="134"/>
      <c r="N28" s="198"/>
    </row>
    <row r="29" spans="3:15" ht="3" customHeight="1">
      <c r="C29" s="19"/>
      <c r="D29" s="169"/>
      <c r="E29" s="135"/>
      <c r="F29" s="20"/>
      <c r="G29" s="135"/>
      <c r="H29" s="20"/>
      <c r="I29" s="169"/>
      <c r="J29" s="273"/>
      <c r="K29" s="135"/>
      <c r="L29" s="273"/>
      <c r="M29" s="20"/>
      <c r="N29" s="20"/>
      <c r="O29" s="20"/>
    </row>
    <row r="30" spans="4:15" ht="12.75">
      <c r="D30" s="187" t="s">
        <v>264</v>
      </c>
      <c r="E30" s="136"/>
      <c r="F30" s="18"/>
      <c r="G30" s="136"/>
      <c r="H30" s="18"/>
      <c r="I30" s="171"/>
      <c r="J30" s="274"/>
      <c r="K30" s="136"/>
      <c r="L30" s="274"/>
      <c r="M30" s="18"/>
      <c r="N30" s="18"/>
      <c r="O30" s="18"/>
    </row>
    <row r="31" spans="3:15" ht="12.75">
      <c r="C31" s="196" t="s">
        <v>11</v>
      </c>
      <c r="D31" s="246"/>
      <c r="E31" s="136"/>
      <c r="F31" s="18"/>
      <c r="G31" s="136"/>
      <c r="H31" s="18"/>
      <c r="I31" s="171"/>
      <c r="J31" s="274"/>
      <c r="K31" s="136"/>
      <c r="L31" s="274"/>
      <c r="M31" s="18"/>
      <c r="N31" s="18"/>
      <c r="O31" s="18"/>
    </row>
    <row r="32" spans="3:15" ht="12.75">
      <c r="C32" s="58" t="s">
        <v>45</v>
      </c>
      <c r="D32" s="245">
        <f>'Profils d''appel'!D37</f>
        <v>0.75</v>
      </c>
      <c r="E32" s="265">
        <f>'Profils d''appel'!E37</f>
        <v>112</v>
      </c>
      <c r="F32" s="59">
        <f>E32/60</f>
        <v>1.8666666666666667</v>
      </c>
      <c r="G32" s="265">
        <f>'Profils d''appel'!I37</f>
        <v>0</v>
      </c>
      <c r="H32" s="267">
        <f>G32/60</f>
        <v>0</v>
      </c>
      <c r="I32" s="245">
        <v>0</v>
      </c>
      <c r="J32" s="60">
        <f>'Tarifs de détail FT'!D25</f>
        <v>15</v>
      </c>
      <c r="K32" s="269">
        <f>'Tarifs de détail FT'!E25</f>
        <v>0</v>
      </c>
      <c r="L32" s="67">
        <f>K32/60</f>
        <v>0</v>
      </c>
      <c r="M32" s="60">
        <f>'Tarifs de détail FT'!F25</f>
        <v>9.1</v>
      </c>
      <c r="N32" s="68">
        <f>I32*J32+(1-I32)*(J32+((F32-I32*H32)/(1-I32)-L32)*M32)</f>
        <v>31.986666666666665</v>
      </c>
      <c r="O32" s="60">
        <f>N32/F32</f>
        <v>17.135714285714283</v>
      </c>
    </row>
    <row r="33" spans="3:15" ht="12.75">
      <c r="C33" s="61" t="s">
        <v>47</v>
      </c>
      <c r="D33" s="176">
        <f>1-D32</f>
        <v>0.25</v>
      </c>
      <c r="E33" s="266">
        <f>'Profils d''appel'!E38</f>
        <v>112</v>
      </c>
      <c r="F33" s="62">
        <f>E33/60</f>
        <v>1.8666666666666667</v>
      </c>
      <c r="G33" s="266">
        <f>'Profils d''appel'!I38</f>
        <v>0</v>
      </c>
      <c r="H33" s="268">
        <f>G33/60</f>
        <v>0</v>
      </c>
      <c r="I33" s="176">
        <v>0</v>
      </c>
      <c r="J33" s="63">
        <f>'Tarifs de détail FT'!D25</f>
        <v>15</v>
      </c>
      <c r="K33" s="270">
        <f>'Tarifs de détail FT'!E25</f>
        <v>0</v>
      </c>
      <c r="L33" s="70">
        <f>K33/60</f>
        <v>0</v>
      </c>
      <c r="M33" s="63">
        <f>'Tarifs de détail FT'!G25</f>
        <v>5</v>
      </c>
      <c r="N33" s="71">
        <f>I33*J33+(1-I33)*(J33+((F33-I33*H33)/(1-I33)-L33)*M33)</f>
        <v>24.333333333333336</v>
      </c>
      <c r="O33" s="63">
        <f>N33/F33</f>
        <v>13.035714285714286</v>
      </c>
    </row>
    <row r="34" spans="3:15" ht="12.75">
      <c r="C34" s="21"/>
      <c r="D34" s="244"/>
      <c r="E34" s="109"/>
      <c r="F34" s="6"/>
      <c r="G34" s="109"/>
      <c r="H34" s="109"/>
      <c r="I34" s="244"/>
      <c r="J34" s="42"/>
      <c r="K34" s="271"/>
      <c r="L34" s="42"/>
      <c r="M34" s="42"/>
      <c r="N34" s="88" t="s">
        <v>181</v>
      </c>
      <c r="O34" s="275">
        <f>SUMPRODUCT(D32:D33,O32:O33)</f>
        <v>16.110714285714284</v>
      </c>
    </row>
    <row r="35" spans="3:14" ht="12.75">
      <c r="C35" s="21" t="s">
        <v>220</v>
      </c>
      <c r="D35" s="246"/>
      <c r="E35" s="134"/>
      <c r="G35" s="134"/>
      <c r="H35" s="134"/>
      <c r="I35" s="246"/>
      <c r="J35" s="272"/>
      <c r="K35" s="134"/>
      <c r="N35" s="198"/>
    </row>
    <row r="36" spans="3:15" ht="12.75">
      <c r="C36" s="58" t="s">
        <v>41</v>
      </c>
      <c r="D36" s="245">
        <f>'Profils d''appel'!D42</f>
        <v>0.9</v>
      </c>
      <c r="E36" s="265">
        <f>'Profils d''appel'!E42</f>
        <v>105</v>
      </c>
      <c r="F36" s="59">
        <f>E36/60</f>
        <v>1.75</v>
      </c>
      <c r="G36" s="265">
        <f>'Profils d''appel'!I42</f>
        <v>0</v>
      </c>
      <c r="H36" s="267">
        <f>G36/60</f>
        <v>0</v>
      </c>
      <c r="I36" s="245">
        <v>0</v>
      </c>
      <c r="J36" s="60">
        <f>'Tarifs de détail FT'!D27</f>
        <v>17.5</v>
      </c>
      <c r="K36" s="269">
        <f>'Tarifs de détail FT'!E27</f>
        <v>0</v>
      </c>
      <c r="L36" s="67">
        <f>K36/60</f>
        <v>0</v>
      </c>
      <c r="M36" s="60">
        <f>'Tarifs de détail FT'!F27</f>
        <v>6.9</v>
      </c>
      <c r="N36" s="68">
        <f>I36*J36+(1-I36)*(J36+((F36-I36*H36)/(1-I36)-L36)*M36)</f>
        <v>29.575000000000003</v>
      </c>
      <c r="O36" s="60">
        <f>N36/F36</f>
        <v>16.900000000000002</v>
      </c>
    </row>
    <row r="37" spans="3:15" ht="12.75">
      <c r="C37" s="61" t="s">
        <v>28</v>
      </c>
      <c r="D37" s="176">
        <f>1-D36</f>
        <v>0.09999999999999998</v>
      </c>
      <c r="E37" s="266">
        <f>'Profils d''appel'!E43</f>
        <v>105</v>
      </c>
      <c r="F37" s="62">
        <f>E37/60</f>
        <v>1.75</v>
      </c>
      <c r="G37" s="266">
        <f>'Profils d''appel'!I43</f>
        <v>0</v>
      </c>
      <c r="H37" s="268">
        <f>G37/60</f>
        <v>0</v>
      </c>
      <c r="I37" s="176">
        <v>0</v>
      </c>
      <c r="J37" s="63">
        <f>'Tarifs de détail FT'!D27</f>
        <v>17.5</v>
      </c>
      <c r="K37" s="270">
        <f>'Tarifs de détail FT'!E27</f>
        <v>0</v>
      </c>
      <c r="L37" s="70">
        <f>K37/60</f>
        <v>0</v>
      </c>
      <c r="M37" s="63">
        <f>'Tarifs de détail FT'!G27</f>
        <v>6.9</v>
      </c>
      <c r="N37" s="71">
        <f>I37*J37+(1-I37)*(J37+((F37-I37*H37)/(1-I37)-L37)*M37)</f>
        <v>29.575000000000003</v>
      </c>
      <c r="O37" s="63">
        <f>N37/F37</f>
        <v>16.900000000000002</v>
      </c>
    </row>
    <row r="38" spans="3:15" ht="12.75">
      <c r="C38" s="21"/>
      <c r="D38" s="244"/>
      <c r="E38" s="109"/>
      <c r="F38" s="6"/>
      <c r="G38" s="109"/>
      <c r="H38" s="109"/>
      <c r="I38" s="244"/>
      <c r="J38" s="42"/>
      <c r="K38" s="271"/>
      <c r="L38" s="42"/>
      <c r="M38" s="42"/>
      <c r="N38" s="88" t="s">
        <v>181</v>
      </c>
      <c r="O38" s="275">
        <f>SUMPRODUCT(D36:D37,O36:O37)</f>
        <v>16.900000000000002</v>
      </c>
    </row>
    <row r="39" spans="4:14" ht="9" customHeight="1">
      <c r="D39" s="246"/>
      <c r="E39" s="134"/>
      <c r="G39" s="134"/>
      <c r="H39" s="134"/>
      <c r="I39" s="246"/>
      <c r="J39" s="272"/>
      <c r="K39" s="134"/>
      <c r="N39" s="198"/>
    </row>
    <row r="40" spans="3:15" ht="3" customHeight="1">
      <c r="C40" s="19"/>
      <c r="D40" s="169"/>
      <c r="E40" s="135"/>
      <c r="F40" s="20"/>
      <c r="G40" s="135"/>
      <c r="H40" s="135"/>
      <c r="I40" s="169"/>
      <c r="J40" s="273"/>
      <c r="K40" s="135"/>
      <c r="L40" s="273"/>
      <c r="M40" s="20"/>
      <c r="N40" s="20"/>
      <c r="O40" s="20"/>
    </row>
    <row r="41" spans="4:15" ht="12.75">
      <c r="D41" s="187" t="s">
        <v>265</v>
      </c>
      <c r="E41" s="136"/>
      <c r="F41" s="18"/>
      <c r="G41" s="136"/>
      <c r="H41" s="136"/>
      <c r="I41" s="171"/>
      <c r="J41" s="274"/>
      <c r="K41" s="136"/>
      <c r="L41" s="274"/>
      <c r="M41" s="18"/>
      <c r="N41" s="18"/>
      <c r="O41" s="18"/>
    </row>
    <row r="42" spans="3:15" ht="12.75">
      <c r="C42" s="196" t="s">
        <v>11</v>
      </c>
      <c r="D42" s="246"/>
      <c r="E42" s="136"/>
      <c r="F42" s="18"/>
      <c r="G42" s="136"/>
      <c r="H42" s="136"/>
      <c r="I42" s="171"/>
      <c r="J42" s="274"/>
      <c r="K42" s="136"/>
      <c r="L42" s="274"/>
      <c r="M42" s="18"/>
      <c r="N42" s="18"/>
      <c r="O42" s="18"/>
    </row>
    <row r="43" spans="3:15" ht="12.75">
      <c r="C43" s="58" t="s">
        <v>45</v>
      </c>
      <c r="D43" s="245">
        <f>'Profils d''appel'!D37</f>
        <v>0.75</v>
      </c>
      <c r="E43" s="265">
        <f>'Profils d''appel'!E37</f>
        <v>112</v>
      </c>
      <c r="F43" s="59">
        <f>E43/60</f>
        <v>1.8666666666666667</v>
      </c>
      <c r="G43" s="265">
        <f>'Profils d''appel'!I37</f>
        <v>0</v>
      </c>
      <c r="H43" s="267">
        <f>G43/60</f>
        <v>0</v>
      </c>
      <c r="I43" s="245">
        <v>0</v>
      </c>
      <c r="J43" s="60">
        <f>'Tarifs de détail FT'!D30</f>
        <v>15</v>
      </c>
      <c r="K43" s="269">
        <f>'Tarifs de détail FT'!E30</f>
        <v>0</v>
      </c>
      <c r="L43" s="67">
        <f>K43/60</f>
        <v>0</v>
      </c>
      <c r="M43" s="60">
        <f>'Tarifs de détail FT'!F30</f>
        <v>12.2</v>
      </c>
      <c r="N43" s="68">
        <f>I43*J43+(1-I43)*(J43+((F43-I43*H43)/(1-I43)-L43)*M43)</f>
        <v>37.77333333333333</v>
      </c>
      <c r="O43" s="60">
        <f>N43/F43</f>
        <v>20.235714285714284</v>
      </c>
    </row>
    <row r="44" spans="3:15" ht="12.75">
      <c r="C44" s="61" t="s">
        <v>47</v>
      </c>
      <c r="D44" s="176">
        <f>1-D43</f>
        <v>0.25</v>
      </c>
      <c r="E44" s="266">
        <f>'Profils d''appel'!E38</f>
        <v>112</v>
      </c>
      <c r="F44" s="62">
        <f>E44/60</f>
        <v>1.8666666666666667</v>
      </c>
      <c r="G44" s="266">
        <f>'Profils d''appel'!I38</f>
        <v>0</v>
      </c>
      <c r="H44" s="268">
        <f>G44/60</f>
        <v>0</v>
      </c>
      <c r="I44" s="176">
        <v>0</v>
      </c>
      <c r="J44" s="63">
        <f>'Tarifs de détail FT'!D30</f>
        <v>15</v>
      </c>
      <c r="K44" s="270">
        <f>'Tarifs de détail FT'!E30</f>
        <v>0</v>
      </c>
      <c r="L44" s="70">
        <f>K44/60</f>
        <v>0</v>
      </c>
      <c r="M44" s="63">
        <f>'Tarifs de détail FT'!G30</f>
        <v>6.6</v>
      </c>
      <c r="N44" s="71">
        <f>I44*J44+(1-I44)*(J44+((F44-I44*H44)/(1-I44)-L44)*M44)</f>
        <v>27.32</v>
      </c>
      <c r="O44" s="63">
        <f>N44/F44</f>
        <v>14.635714285714286</v>
      </c>
    </row>
    <row r="45" spans="3:15" ht="12.75">
      <c r="C45" s="21"/>
      <c r="D45" s="244"/>
      <c r="E45" s="109"/>
      <c r="F45" s="6"/>
      <c r="G45" s="109"/>
      <c r="H45" s="109"/>
      <c r="I45" s="244"/>
      <c r="J45" s="42"/>
      <c r="K45" s="271"/>
      <c r="L45" s="42"/>
      <c r="M45" s="42"/>
      <c r="N45" s="88" t="s">
        <v>181</v>
      </c>
      <c r="O45" s="275">
        <f>SUMPRODUCT(D43:D44,O43:O44)</f>
        <v>18.835714285714285</v>
      </c>
    </row>
    <row r="46" spans="3:14" ht="12.75">
      <c r="C46" s="21" t="s">
        <v>220</v>
      </c>
      <c r="D46" s="246"/>
      <c r="E46" s="134"/>
      <c r="G46" s="134"/>
      <c r="H46" s="134"/>
      <c r="I46" s="246"/>
      <c r="J46" s="272"/>
      <c r="K46" s="134"/>
      <c r="N46" s="198"/>
    </row>
    <row r="47" spans="3:15" ht="12.75">
      <c r="C47" s="58" t="s">
        <v>41</v>
      </c>
      <c r="D47" s="245">
        <f>'Profils d''appel'!D42</f>
        <v>0.9</v>
      </c>
      <c r="E47" s="265">
        <f>'Profils d''appel'!E42</f>
        <v>105</v>
      </c>
      <c r="F47" s="59">
        <f>E47/60</f>
        <v>1.75</v>
      </c>
      <c r="G47" s="265">
        <f>'Profils d''appel'!I42</f>
        <v>0</v>
      </c>
      <c r="H47" s="267">
        <f>G47/60</f>
        <v>0</v>
      </c>
      <c r="I47" s="245">
        <v>0</v>
      </c>
      <c r="J47" s="60">
        <f>'Tarifs de détail FT'!D32</f>
        <v>17.5</v>
      </c>
      <c r="K47" s="269">
        <f>'Tarifs de détail FT'!E32</f>
        <v>0</v>
      </c>
      <c r="L47" s="67">
        <f>K47/60</f>
        <v>0</v>
      </c>
      <c r="M47" s="60">
        <f>'Tarifs de détail FT'!F32</f>
        <v>9.3</v>
      </c>
      <c r="N47" s="68">
        <f>I47*J47+(1-I47)*(J47+((F47-I47*H47)/(1-I47)-L47)*M47)</f>
        <v>33.775000000000006</v>
      </c>
      <c r="O47" s="60">
        <f>N47/F47</f>
        <v>19.300000000000004</v>
      </c>
    </row>
    <row r="48" spans="3:15" ht="12.75">
      <c r="C48" s="61" t="s">
        <v>28</v>
      </c>
      <c r="D48" s="176">
        <f>1-D47</f>
        <v>0.09999999999999998</v>
      </c>
      <c r="E48" s="266">
        <f>'Profils d''appel'!E43</f>
        <v>105</v>
      </c>
      <c r="F48" s="62">
        <f>E48/60</f>
        <v>1.75</v>
      </c>
      <c r="G48" s="266">
        <f>'Profils d''appel'!I43</f>
        <v>0</v>
      </c>
      <c r="H48" s="268">
        <f>G48/60</f>
        <v>0</v>
      </c>
      <c r="I48" s="176">
        <v>0</v>
      </c>
      <c r="J48" s="63">
        <f>'Tarifs de détail FT'!D32</f>
        <v>17.5</v>
      </c>
      <c r="K48" s="270">
        <f>'Tarifs de détail FT'!E32</f>
        <v>0</v>
      </c>
      <c r="L48" s="70">
        <f>K48/60</f>
        <v>0</v>
      </c>
      <c r="M48" s="63">
        <f>'Tarifs de détail FT'!G32</f>
        <v>9.3</v>
      </c>
      <c r="N48" s="71">
        <f>I48*J48+(1-I48)*(J48+((F48-I48*H48)/(1-I48)-L48)*M48)</f>
        <v>33.775000000000006</v>
      </c>
      <c r="O48" s="63">
        <f>N48/F48</f>
        <v>19.300000000000004</v>
      </c>
    </row>
    <row r="49" ht="12.75">
      <c r="O49" s="275">
        <f>SUMPRODUCT(D47:D48,O47:O48)</f>
        <v>19.300000000000004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  <ignoredErrors>
    <ignoredError sqref="G10:G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B1:L203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.7109375" style="1" customWidth="1"/>
    <col min="3" max="3" width="35.28125" style="1" customWidth="1"/>
    <col min="4" max="5" width="10.57421875" style="1" customWidth="1"/>
    <col min="6" max="6" width="7.8515625" style="1" customWidth="1"/>
    <col min="7" max="7" width="6.421875" style="1" customWidth="1"/>
    <col min="8" max="8" width="7.28125" style="1" customWidth="1"/>
    <col min="9" max="9" width="16.28125" style="23" customWidth="1"/>
    <col min="10" max="16384" width="11.421875" style="1" customWidth="1"/>
  </cols>
  <sheetData>
    <row r="1" spans="2:9" ht="18" customHeight="1">
      <c r="B1" s="2"/>
      <c r="C1" s="6"/>
      <c r="D1" s="6"/>
      <c r="E1" s="6"/>
      <c r="F1" s="6"/>
      <c r="G1" s="6"/>
      <c r="H1" s="6"/>
      <c r="I1" s="6"/>
    </row>
    <row r="2" spans="2:9" ht="12.75">
      <c r="B2" s="3"/>
      <c r="C2" s="3" t="s">
        <v>221</v>
      </c>
      <c r="D2" s="3"/>
      <c r="E2" s="47"/>
      <c r="F2" s="47"/>
      <c r="G2" s="47"/>
      <c r="H2" s="4"/>
      <c r="I2" s="83"/>
    </row>
    <row r="4" spans="2:9" ht="12.75">
      <c r="B4" s="21" t="s">
        <v>226</v>
      </c>
      <c r="D4" s="6"/>
      <c r="E4" s="6"/>
      <c r="F4" s="6"/>
      <c r="G4" s="6"/>
      <c r="H4" s="6"/>
      <c r="I4" s="6"/>
    </row>
    <row r="5" spans="2:8" ht="12.75">
      <c r="B5" s="2"/>
      <c r="C5" s="6" t="s">
        <v>43</v>
      </c>
      <c r="D5" s="6"/>
      <c r="E5" s="6" t="s">
        <v>44</v>
      </c>
      <c r="F5" s="6" t="s">
        <v>45</v>
      </c>
      <c r="G5" s="6">
        <v>0.00114</v>
      </c>
      <c r="H5" s="6" t="s">
        <v>46</v>
      </c>
    </row>
    <row r="6" spans="2:8" ht="12.75">
      <c r="B6" s="2"/>
      <c r="C6" s="6" t="s">
        <v>43</v>
      </c>
      <c r="D6" s="6"/>
      <c r="E6" s="6" t="s">
        <v>44</v>
      </c>
      <c r="F6" s="6" t="s">
        <v>47</v>
      </c>
      <c r="G6" s="6">
        <v>0.00073</v>
      </c>
      <c r="H6" s="6" t="s">
        <v>46</v>
      </c>
    </row>
    <row r="7" spans="2:8" ht="12.75">
      <c r="B7" s="2"/>
      <c r="C7" s="6" t="s">
        <v>43</v>
      </c>
      <c r="D7" s="6"/>
      <c r="E7" s="6" t="s">
        <v>44</v>
      </c>
      <c r="F7" s="6" t="s">
        <v>48</v>
      </c>
      <c r="G7" s="6">
        <v>0.00049</v>
      </c>
      <c r="H7" s="6" t="s">
        <v>46</v>
      </c>
    </row>
    <row r="8" spans="2:8" ht="12.75">
      <c r="B8" s="2"/>
      <c r="C8" s="6" t="s">
        <v>49</v>
      </c>
      <c r="D8" s="6"/>
      <c r="E8" s="6" t="s">
        <v>44</v>
      </c>
      <c r="F8" s="6" t="s">
        <v>45</v>
      </c>
      <c r="G8" s="6">
        <v>0.00496</v>
      </c>
      <c r="H8" s="6" t="s">
        <v>50</v>
      </c>
    </row>
    <row r="9" spans="2:8" ht="12.75">
      <c r="B9" s="2"/>
      <c r="C9" s="6" t="s">
        <v>49</v>
      </c>
      <c r="D9" s="6"/>
      <c r="E9" s="6" t="s">
        <v>44</v>
      </c>
      <c r="F9" s="6" t="s">
        <v>47</v>
      </c>
      <c r="G9" s="6">
        <v>0.0032</v>
      </c>
      <c r="H9" s="6" t="s">
        <v>50</v>
      </c>
    </row>
    <row r="10" spans="2:8" ht="12.75">
      <c r="B10" s="2"/>
      <c r="C10" s="6" t="s">
        <v>49</v>
      </c>
      <c r="D10" s="6"/>
      <c r="E10" s="6" t="s">
        <v>44</v>
      </c>
      <c r="F10" s="6" t="s">
        <v>48</v>
      </c>
      <c r="G10" s="6">
        <v>0.00213</v>
      </c>
      <c r="H10" s="6" t="s">
        <v>50</v>
      </c>
    </row>
    <row r="11" spans="2:8" ht="12.75">
      <c r="B11" s="2"/>
      <c r="C11" s="6" t="s">
        <v>43</v>
      </c>
      <c r="D11" s="6"/>
      <c r="E11" s="6" t="s">
        <v>51</v>
      </c>
      <c r="F11" s="6" t="s">
        <v>45</v>
      </c>
      <c r="G11" s="6">
        <v>0.00358</v>
      </c>
      <c r="H11" s="6" t="s">
        <v>46</v>
      </c>
    </row>
    <row r="12" spans="2:8" ht="12.75">
      <c r="B12" s="2"/>
      <c r="C12" s="6" t="s">
        <v>43</v>
      </c>
      <c r="D12" s="6"/>
      <c r="E12" s="6" t="s">
        <v>51</v>
      </c>
      <c r="F12" s="6" t="s">
        <v>47</v>
      </c>
      <c r="G12" s="6">
        <v>0.0023</v>
      </c>
      <c r="H12" s="6" t="s">
        <v>46</v>
      </c>
    </row>
    <row r="13" spans="2:8" ht="12.75">
      <c r="B13" s="2"/>
      <c r="C13" s="6" t="s">
        <v>43</v>
      </c>
      <c r="D13" s="6"/>
      <c r="E13" s="6" t="s">
        <v>51</v>
      </c>
      <c r="F13" s="6" t="s">
        <v>48</v>
      </c>
      <c r="G13" s="6">
        <v>0.00153</v>
      </c>
      <c r="H13" s="6" t="s">
        <v>46</v>
      </c>
    </row>
    <row r="14" spans="2:8" ht="12.75">
      <c r="B14" s="2"/>
      <c r="C14" s="6" t="s">
        <v>49</v>
      </c>
      <c r="D14" s="6"/>
      <c r="E14" s="6" t="s">
        <v>51</v>
      </c>
      <c r="F14" s="6" t="s">
        <v>45</v>
      </c>
      <c r="G14" s="6">
        <v>0.00883</v>
      </c>
      <c r="H14" s="6" t="s">
        <v>50</v>
      </c>
    </row>
    <row r="15" spans="2:8" ht="12.75">
      <c r="B15" s="2"/>
      <c r="C15" s="6" t="s">
        <v>49</v>
      </c>
      <c r="D15" s="6"/>
      <c r="E15" s="6" t="s">
        <v>51</v>
      </c>
      <c r="F15" s="6" t="s">
        <v>47</v>
      </c>
      <c r="G15" s="6">
        <v>0.00569</v>
      </c>
      <c r="H15" s="6" t="s">
        <v>50</v>
      </c>
    </row>
    <row r="16" spans="2:8" ht="12.75">
      <c r="B16" s="2"/>
      <c r="C16" s="6" t="s">
        <v>49</v>
      </c>
      <c r="D16" s="6"/>
      <c r="E16" s="6" t="s">
        <v>51</v>
      </c>
      <c r="F16" s="6" t="s">
        <v>48</v>
      </c>
      <c r="G16" s="6">
        <v>0.00379</v>
      </c>
      <c r="H16" s="6" t="s">
        <v>50</v>
      </c>
    </row>
    <row r="17" spans="2:8" ht="12.75">
      <c r="B17" s="2"/>
      <c r="C17" s="6" t="s">
        <v>52</v>
      </c>
      <c r="D17" s="6"/>
      <c r="E17" s="6" t="s">
        <v>44</v>
      </c>
      <c r="F17" s="6"/>
      <c r="G17" s="305">
        <v>2585</v>
      </c>
      <c r="H17" s="6" t="s">
        <v>53</v>
      </c>
    </row>
    <row r="18" spans="2:8" ht="12.75">
      <c r="B18" s="2"/>
      <c r="C18" s="6" t="s">
        <v>52</v>
      </c>
      <c r="D18" s="6"/>
      <c r="E18" s="6" t="s">
        <v>51</v>
      </c>
      <c r="F18" s="6"/>
      <c r="G18" s="214">
        <v>3904.4</v>
      </c>
      <c r="H18" s="6" t="s">
        <v>53</v>
      </c>
    </row>
    <row r="19" spans="2:8" ht="12.75">
      <c r="B19" s="2"/>
      <c r="H19" s="306"/>
    </row>
    <row r="20" spans="2:9" ht="12.75">
      <c r="B20" s="21" t="s">
        <v>273</v>
      </c>
      <c r="D20" s="6"/>
      <c r="E20" s="6"/>
      <c r="F20" s="6"/>
      <c r="G20" s="6"/>
      <c r="H20" s="214"/>
      <c r="I20" s="6"/>
    </row>
    <row r="21" spans="2:8" ht="12.75">
      <c r="B21" s="2"/>
      <c r="C21" s="6" t="s">
        <v>54</v>
      </c>
      <c r="D21" s="6" t="s">
        <v>55</v>
      </c>
      <c r="E21" s="6"/>
      <c r="F21" s="6"/>
      <c r="G21" s="214">
        <v>1665</v>
      </c>
      <c r="H21" s="6" t="s">
        <v>56</v>
      </c>
    </row>
    <row r="22" spans="2:8" ht="12.75">
      <c r="B22" s="2"/>
      <c r="C22" s="6" t="s">
        <v>57</v>
      </c>
      <c r="D22" s="6" t="s">
        <v>55</v>
      </c>
      <c r="E22" s="6"/>
      <c r="F22" s="6"/>
      <c r="G22" s="214">
        <v>398</v>
      </c>
      <c r="H22" s="6" t="s">
        <v>56</v>
      </c>
    </row>
    <row r="23" spans="2:8" ht="12.75">
      <c r="B23" s="2"/>
      <c r="C23" s="6" t="s">
        <v>57</v>
      </c>
      <c r="D23" s="6" t="s">
        <v>58</v>
      </c>
      <c r="E23" s="6"/>
      <c r="F23" s="6"/>
      <c r="G23" s="214">
        <v>859</v>
      </c>
      <c r="H23" s="6" t="s">
        <v>53</v>
      </c>
    </row>
    <row r="24" spans="2:8" ht="12.75">
      <c r="B24" s="2"/>
      <c r="C24" s="6" t="s">
        <v>54</v>
      </c>
      <c r="D24" s="6" t="s">
        <v>59</v>
      </c>
      <c r="E24" s="6" t="s">
        <v>60</v>
      </c>
      <c r="F24" s="6" t="s">
        <v>44</v>
      </c>
      <c r="G24" s="214">
        <v>1998.6</v>
      </c>
      <c r="H24" s="6" t="s">
        <v>53</v>
      </c>
    </row>
    <row r="25" spans="2:8" ht="12.75">
      <c r="B25" s="2"/>
      <c r="C25" s="6" t="s">
        <v>54</v>
      </c>
      <c r="D25" s="6" t="s">
        <v>59</v>
      </c>
      <c r="E25" s="6" t="s">
        <v>61</v>
      </c>
      <c r="F25" s="6" t="s">
        <v>44</v>
      </c>
      <c r="G25" s="214">
        <v>158.2</v>
      </c>
      <c r="H25" s="6" t="s">
        <v>53</v>
      </c>
    </row>
    <row r="26" spans="2:8" ht="12.75">
      <c r="B26" s="2"/>
      <c r="C26" s="6" t="s">
        <v>54</v>
      </c>
      <c r="D26" s="6" t="s">
        <v>59</v>
      </c>
      <c r="E26" s="6" t="s">
        <v>60</v>
      </c>
      <c r="F26" s="6" t="s">
        <v>51</v>
      </c>
      <c r="G26" s="214">
        <v>2053.1</v>
      </c>
      <c r="H26" s="6" t="s">
        <v>53</v>
      </c>
    </row>
    <row r="27" spans="2:8" ht="12.75">
      <c r="B27" s="2"/>
      <c r="C27" s="6" t="s">
        <v>54</v>
      </c>
      <c r="D27" s="6" t="s">
        <v>59</v>
      </c>
      <c r="E27" s="6" t="s">
        <v>61</v>
      </c>
      <c r="F27" s="6" t="s">
        <v>51</v>
      </c>
      <c r="G27" s="214">
        <v>66.1</v>
      </c>
      <c r="H27" s="6" t="s">
        <v>53</v>
      </c>
    </row>
    <row r="28" spans="2:8" ht="12.75">
      <c r="B28" s="2"/>
      <c r="C28" s="6"/>
      <c r="D28" s="6"/>
      <c r="E28" s="6"/>
      <c r="F28" s="6"/>
      <c r="G28" s="214"/>
      <c r="H28" s="6"/>
    </row>
    <row r="29" spans="2:12" ht="12.75">
      <c r="B29" s="21" t="s">
        <v>222</v>
      </c>
      <c r="D29" s="73"/>
      <c r="E29" s="6"/>
      <c r="F29" s="6"/>
      <c r="G29" s="214"/>
      <c r="H29" s="6"/>
      <c r="K29" s="23"/>
      <c r="L29" s="23"/>
    </row>
    <row r="30" spans="2:8" ht="12.75">
      <c r="B30" s="2"/>
      <c r="C30" s="6" t="s">
        <v>223</v>
      </c>
      <c r="D30" s="6" t="s">
        <v>55</v>
      </c>
      <c r="E30" s="6"/>
      <c r="F30" s="6"/>
      <c r="G30" s="214">
        <v>1106.5</v>
      </c>
      <c r="H30" s="6" t="s">
        <v>56</v>
      </c>
    </row>
    <row r="31" spans="2:8" ht="12.75">
      <c r="B31" s="2"/>
      <c r="C31" s="6" t="s">
        <v>223</v>
      </c>
      <c r="D31" s="6" t="s">
        <v>59</v>
      </c>
      <c r="E31" s="6" t="s">
        <v>60</v>
      </c>
      <c r="F31" s="6"/>
      <c r="G31" s="214">
        <v>201.5</v>
      </c>
      <c r="H31" s="6" t="s">
        <v>224</v>
      </c>
    </row>
    <row r="32" spans="2:8" ht="12.75">
      <c r="B32" s="2"/>
      <c r="C32" s="6" t="s">
        <v>223</v>
      </c>
      <c r="D32" s="6" t="s">
        <v>59</v>
      </c>
      <c r="E32" s="6" t="s">
        <v>61</v>
      </c>
      <c r="F32" s="6"/>
      <c r="G32" s="214">
        <v>7.5</v>
      </c>
      <c r="H32" s="6" t="s">
        <v>224</v>
      </c>
    </row>
    <row r="33" spans="2:8" ht="12.75">
      <c r="B33" s="2"/>
      <c r="C33" s="6" t="s">
        <v>225</v>
      </c>
      <c r="D33" s="6"/>
      <c r="E33" s="6"/>
      <c r="F33" s="6"/>
      <c r="G33" s="6">
        <v>45</v>
      </c>
      <c r="H33" s="6" t="s">
        <v>224</v>
      </c>
    </row>
    <row r="34" spans="2:9" ht="12.75">
      <c r="B34" s="2"/>
      <c r="C34" s="2"/>
      <c r="D34" s="2"/>
      <c r="E34" s="2"/>
      <c r="F34" s="2"/>
      <c r="G34" s="6"/>
      <c r="H34" s="6"/>
      <c r="I34" s="6"/>
    </row>
    <row r="35" spans="2:9" ht="12.75">
      <c r="B35" s="3"/>
      <c r="C35" s="3" t="s">
        <v>177</v>
      </c>
      <c r="D35" s="3"/>
      <c r="E35" s="47"/>
      <c r="F35" s="47"/>
      <c r="G35" s="47"/>
      <c r="H35" s="47"/>
      <c r="I35" s="83"/>
    </row>
    <row r="36" spans="2:9" ht="12.75">
      <c r="B36" s="2"/>
      <c r="C36" s="6"/>
      <c r="D36" s="6"/>
      <c r="E36" s="6"/>
      <c r="F36" s="6"/>
      <c r="G36" s="6"/>
      <c r="H36" s="6"/>
      <c r="I36" s="6"/>
    </row>
    <row r="37" spans="2:9" ht="12.75">
      <c r="B37" s="21" t="s">
        <v>252</v>
      </c>
      <c r="C37" s="6"/>
      <c r="D37" s="88" t="s">
        <v>251</v>
      </c>
      <c r="G37" s="6"/>
      <c r="H37" s="6"/>
      <c r="I37" s="6"/>
    </row>
    <row r="38" spans="2:9" ht="12.75">
      <c r="B38" s="2"/>
      <c r="C38" s="75" t="s">
        <v>64</v>
      </c>
      <c r="D38" s="181">
        <v>7.5</v>
      </c>
      <c r="G38" s="6"/>
      <c r="H38" s="6"/>
      <c r="I38" s="6"/>
    </row>
    <row r="39" spans="2:9" ht="12.75">
      <c r="B39" s="2"/>
      <c r="C39" s="76" t="s">
        <v>65</v>
      </c>
      <c r="D39" s="122">
        <v>7.5</v>
      </c>
      <c r="G39" s="18"/>
      <c r="H39" s="6"/>
      <c r="I39" s="6"/>
    </row>
    <row r="40" spans="2:9" ht="12.75">
      <c r="B40" s="2"/>
      <c r="C40" s="77" t="s">
        <v>32</v>
      </c>
      <c r="D40" s="182">
        <v>9.24</v>
      </c>
      <c r="G40" s="18"/>
      <c r="H40" s="6"/>
      <c r="I40" s="6"/>
    </row>
    <row r="41" spans="2:9" ht="12.75">
      <c r="B41" s="2"/>
      <c r="C41" s="6"/>
      <c r="D41" s="6"/>
      <c r="E41" s="6"/>
      <c r="F41" s="6"/>
      <c r="G41" s="6"/>
      <c r="H41" s="6"/>
      <c r="I41" s="6"/>
    </row>
    <row r="42" spans="2:9" ht="12.75">
      <c r="B42" s="21" t="s">
        <v>52</v>
      </c>
      <c r="C42" s="6"/>
      <c r="D42" s="88" t="s">
        <v>66</v>
      </c>
      <c r="E42" s="6"/>
      <c r="F42" s="6"/>
      <c r="G42" s="78"/>
      <c r="H42" s="6"/>
      <c r="I42" s="6"/>
    </row>
    <row r="43" spans="2:9" ht="12.75">
      <c r="B43" s="2"/>
      <c r="C43" s="75" t="s">
        <v>64</v>
      </c>
      <c r="D43" s="178">
        <v>2939</v>
      </c>
      <c r="F43" s="120"/>
      <c r="G43" s="78"/>
      <c r="H43" s="8"/>
      <c r="I43" s="6"/>
    </row>
    <row r="44" spans="2:9" ht="12.75">
      <c r="B44" s="2"/>
      <c r="C44" s="76" t="s">
        <v>65</v>
      </c>
      <c r="D44" s="38">
        <v>2939</v>
      </c>
      <c r="F44" s="120"/>
      <c r="G44" s="6"/>
      <c r="H44" s="6"/>
      <c r="I44" s="6"/>
    </row>
    <row r="45" spans="2:9" ht="12.75">
      <c r="B45" s="2"/>
      <c r="C45" s="77" t="s">
        <v>32</v>
      </c>
      <c r="D45" s="179">
        <v>4487</v>
      </c>
      <c r="F45" s="120"/>
      <c r="G45" s="6"/>
      <c r="H45" s="6"/>
      <c r="I45" s="6"/>
    </row>
    <row r="46" spans="2:9" ht="12.75">
      <c r="B46" s="2"/>
      <c r="C46" s="6"/>
      <c r="D46" s="6"/>
      <c r="E46" s="6"/>
      <c r="F46" s="6"/>
      <c r="G46" s="6"/>
      <c r="H46" s="6"/>
      <c r="I46" s="6"/>
    </row>
    <row r="47" spans="2:9" ht="12.75">
      <c r="B47" s="21" t="s">
        <v>249</v>
      </c>
      <c r="D47" s="6"/>
      <c r="E47" s="6"/>
      <c r="F47" s="6"/>
      <c r="G47" s="6"/>
      <c r="I47" s="6"/>
    </row>
    <row r="48" spans="2:9" ht="12.75">
      <c r="B48" s="2"/>
      <c r="C48" s="6" t="s">
        <v>55</v>
      </c>
      <c r="D48" s="6"/>
      <c r="E48" s="73">
        <f>E56</f>
        <v>56406</v>
      </c>
      <c r="F48" s="6" t="s">
        <v>67</v>
      </c>
      <c r="G48" s="6"/>
      <c r="I48" s="6"/>
    </row>
    <row r="49" spans="2:9" ht="12.75">
      <c r="B49" s="2"/>
      <c r="C49" s="6" t="s">
        <v>69</v>
      </c>
      <c r="D49" s="6"/>
      <c r="E49" s="73">
        <v>9147</v>
      </c>
      <c r="F49" s="6" t="s">
        <v>68</v>
      </c>
      <c r="G49" s="6"/>
      <c r="I49" s="6"/>
    </row>
    <row r="50" spans="2:9" ht="12.75">
      <c r="B50" s="2"/>
      <c r="C50" s="2"/>
      <c r="D50" s="6"/>
      <c r="E50" s="6"/>
      <c r="F50" s="6"/>
      <c r="G50" s="6"/>
      <c r="I50" s="6"/>
    </row>
    <row r="51" spans="2:9" ht="12.75">
      <c r="B51" s="21" t="s">
        <v>250</v>
      </c>
      <c r="D51" s="6"/>
      <c r="E51" s="6"/>
      <c r="F51" s="6"/>
      <c r="G51" s="6"/>
      <c r="I51" s="6"/>
    </row>
    <row r="52" spans="2:9" ht="12.75">
      <c r="B52" s="2"/>
      <c r="C52" s="6" t="s">
        <v>55</v>
      </c>
      <c r="D52" s="6"/>
      <c r="E52" s="73">
        <v>52442</v>
      </c>
      <c r="F52" s="6" t="s">
        <v>67</v>
      </c>
      <c r="G52" s="6"/>
      <c r="I52" s="6"/>
    </row>
    <row r="53" spans="2:9" ht="12.75">
      <c r="B53" s="2"/>
      <c r="C53" s="6" t="s">
        <v>69</v>
      </c>
      <c r="D53" s="6"/>
      <c r="E53" s="73">
        <v>11434</v>
      </c>
      <c r="F53" s="6" t="s">
        <v>68</v>
      </c>
      <c r="G53" s="6"/>
      <c r="I53" s="6"/>
    </row>
    <row r="54" spans="2:9" ht="12.75">
      <c r="B54" s="2"/>
      <c r="C54" s="2"/>
      <c r="D54" s="46"/>
      <c r="E54" s="6"/>
      <c r="F54" s="6"/>
      <c r="G54" s="46"/>
      <c r="I54" s="6"/>
    </row>
    <row r="55" spans="2:9" ht="12.75">
      <c r="B55" s="21" t="s">
        <v>182</v>
      </c>
      <c r="D55" s="6"/>
      <c r="E55" s="6"/>
      <c r="F55" s="6"/>
      <c r="G55" s="6"/>
      <c r="I55" s="6"/>
    </row>
    <row r="56" spans="2:10" ht="12.75">
      <c r="B56" s="2"/>
      <c r="C56" s="6" t="s">
        <v>55</v>
      </c>
      <c r="D56" s="6"/>
      <c r="E56" s="73">
        <v>56406</v>
      </c>
      <c r="F56" s="6" t="s">
        <v>67</v>
      </c>
      <c r="I56" s="6"/>
      <c r="J56" s="6"/>
    </row>
    <row r="57" spans="2:9" ht="12.75">
      <c r="B57" s="2"/>
      <c r="C57" s="6" t="s">
        <v>70</v>
      </c>
      <c r="D57" s="8"/>
      <c r="E57" s="73">
        <f>4573+1143</f>
        <v>5716</v>
      </c>
      <c r="F57" s="6" t="s">
        <v>71</v>
      </c>
      <c r="G57" s="8"/>
      <c r="I57" s="6"/>
    </row>
    <row r="58" spans="2:9" ht="12.75">
      <c r="B58" s="2"/>
      <c r="C58" s="6" t="s">
        <v>69</v>
      </c>
      <c r="D58" s="8"/>
      <c r="E58" s="79">
        <f>E57*4</f>
        <v>22864</v>
      </c>
      <c r="F58" s="6" t="s">
        <v>68</v>
      </c>
      <c r="G58" s="8"/>
      <c r="I58" s="6"/>
    </row>
    <row r="60" ht="12.75">
      <c r="E60" s="280"/>
    </row>
    <row r="61" ht="12.75">
      <c r="E61" s="280"/>
    </row>
    <row r="62" ht="12.75">
      <c r="E62" s="280"/>
    </row>
    <row r="63" ht="12.75">
      <c r="E63" s="280"/>
    </row>
    <row r="64" ht="12.75">
      <c r="E64" s="280"/>
    </row>
    <row r="65" ht="12.75">
      <c r="E65" s="280"/>
    </row>
    <row r="66" ht="12.75">
      <c r="E66" s="280"/>
    </row>
    <row r="67" ht="12.75">
      <c r="E67" s="280"/>
    </row>
    <row r="68" ht="12.75">
      <c r="E68" s="280"/>
    </row>
    <row r="69" ht="12.75">
      <c r="E69" s="280"/>
    </row>
    <row r="70" ht="12.75">
      <c r="E70" s="280"/>
    </row>
    <row r="71" ht="12.75">
      <c r="E71" s="280"/>
    </row>
    <row r="72" ht="12.75">
      <c r="E72" s="280"/>
    </row>
    <row r="73" ht="12.75">
      <c r="E73" s="280"/>
    </row>
    <row r="74" ht="12.75">
      <c r="E74" s="280"/>
    </row>
    <row r="75" ht="12.75">
      <c r="E75" s="280"/>
    </row>
    <row r="76" ht="12.75">
      <c r="E76" s="280"/>
    </row>
    <row r="77" ht="12.75">
      <c r="E77" s="280"/>
    </row>
    <row r="78" ht="12.75">
      <c r="E78" s="280"/>
    </row>
    <row r="79" ht="12.75">
      <c r="E79" s="280"/>
    </row>
    <row r="80" ht="12.75">
      <c r="E80" s="280"/>
    </row>
    <row r="81" ht="12.75">
      <c r="E81" s="280"/>
    </row>
    <row r="82" ht="12.75">
      <c r="E82" s="280"/>
    </row>
    <row r="83" ht="12.75">
      <c r="E83" s="280"/>
    </row>
    <row r="84" ht="12.75">
      <c r="E84" s="280"/>
    </row>
    <row r="85" ht="12.75">
      <c r="E85" s="280"/>
    </row>
    <row r="86" ht="12.75">
      <c r="E86" s="280"/>
    </row>
    <row r="87" ht="12.75">
      <c r="E87" s="280"/>
    </row>
    <row r="88" ht="12.75">
      <c r="E88" s="280"/>
    </row>
    <row r="89" ht="12.75">
      <c r="E89" s="280"/>
    </row>
    <row r="90" ht="12.75">
      <c r="E90" s="280"/>
    </row>
    <row r="91" ht="12.75">
      <c r="E91" s="280"/>
    </row>
    <row r="92" ht="12.75">
      <c r="E92" s="280"/>
    </row>
    <row r="93" ht="12.75">
      <c r="E93" s="280"/>
    </row>
    <row r="94" ht="12.75">
      <c r="E94" s="280"/>
    </row>
    <row r="95" ht="12.75">
      <c r="E95" s="280"/>
    </row>
    <row r="96" ht="12.75">
      <c r="E96" s="280"/>
    </row>
    <row r="97" ht="12.75">
      <c r="E97" s="280"/>
    </row>
    <row r="98" ht="12.75">
      <c r="E98" s="280"/>
    </row>
    <row r="99" ht="12.75">
      <c r="E99" s="280"/>
    </row>
    <row r="100" ht="12.75">
      <c r="E100" s="280"/>
    </row>
    <row r="101" ht="12.75">
      <c r="E101" s="280"/>
    </row>
    <row r="102" ht="12.75">
      <c r="E102" s="280"/>
    </row>
    <row r="103" ht="12.75">
      <c r="E103" s="280"/>
    </row>
    <row r="104" ht="12.75">
      <c r="E104" s="280"/>
    </row>
    <row r="105" ht="12.75">
      <c r="E105" s="280"/>
    </row>
    <row r="106" ht="12.75">
      <c r="E106" s="280"/>
    </row>
    <row r="107" ht="12.75">
      <c r="E107" s="280"/>
    </row>
    <row r="108" ht="12.75">
      <c r="E108" s="280"/>
    </row>
    <row r="109" ht="12.75">
      <c r="E109" s="280"/>
    </row>
    <row r="110" ht="12.75">
      <c r="E110" s="280"/>
    </row>
    <row r="111" ht="12.75">
      <c r="E111" s="280"/>
    </row>
    <row r="112" ht="12.75">
      <c r="E112" s="280"/>
    </row>
    <row r="113" ht="12.75">
      <c r="E113" s="280"/>
    </row>
    <row r="114" ht="12.75">
      <c r="E114" s="280"/>
    </row>
    <row r="115" ht="12.75">
      <c r="E115" s="280"/>
    </row>
    <row r="116" ht="12.75">
      <c r="E116" s="280"/>
    </row>
    <row r="117" ht="12.75">
      <c r="E117" s="280"/>
    </row>
    <row r="118" ht="12.75">
      <c r="E118" s="280"/>
    </row>
    <row r="119" ht="12.75">
      <c r="E119" s="280"/>
    </row>
    <row r="120" ht="12.75">
      <c r="E120" s="280"/>
    </row>
    <row r="121" ht="12.75">
      <c r="E121" s="280"/>
    </row>
    <row r="122" ht="12.75">
      <c r="E122" s="280"/>
    </row>
    <row r="123" ht="12.75">
      <c r="E123" s="280"/>
    </row>
    <row r="124" ht="12.75">
      <c r="E124" s="280"/>
    </row>
    <row r="125" ht="12.75">
      <c r="E125" s="280"/>
    </row>
    <row r="126" ht="12.75">
      <c r="E126" s="280"/>
    </row>
    <row r="127" ht="12.75">
      <c r="E127" s="280"/>
    </row>
    <row r="128" ht="12.75">
      <c r="E128" s="280"/>
    </row>
    <row r="129" ht="12.75">
      <c r="E129" s="280"/>
    </row>
    <row r="130" ht="12.75">
      <c r="E130" s="280"/>
    </row>
    <row r="131" ht="12.75">
      <c r="E131" s="280"/>
    </row>
    <row r="132" ht="12.75">
      <c r="E132" s="280"/>
    </row>
    <row r="133" ht="12.75">
      <c r="E133" s="280"/>
    </row>
    <row r="134" ht="12.75">
      <c r="E134" s="280"/>
    </row>
    <row r="135" ht="12.75">
      <c r="E135" s="280"/>
    </row>
    <row r="136" ht="12.75">
      <c r="E136" s="280"/>
    </row>
    <row r="137" ht="12.75">
      <c r="E137" s="280"/>
    </row>
    <row r="138" ht="12.75">
      <c r="E138" s="280"/>
    </row>
    <row r="139" ht="12.75">
      <c r="E139" s="280"/>
    </row>
    <row r="140" ht="12.75">
      <c r="E140" s="280"/>
    </row>
    <row r="141" ht="12.75">
      <c r="E141" s="280"/>
    </row>
    <row r="142" ht="12.75">
      <c r="E142" s="280"/>
    </row>
    <row r="143" ht="12.75">
      <c r="E143" s="280"/>
    </row>
    <row r="144" ht="12.75">
      <c r="E144" s="280"/>
    </row>
    <row r="145" ht="12.75">
      <c r="E145" s="280"/>
    </row>
    <row r="146" ht="12.75">
      <c r="E146" s="280"/>
    </row>
    <row r="147" ht="12.75">
      <c r="E147" s="280"/>
    </row>
    <row r="148" ht="12.75">
      <c r="E148" s="280"/>
    </row>
    <row r="149" ht="12.75">
      <c r="E149" s="280"/>
    </row>
    <row r="150" ht="12.75">
      <c r="E150" s="280"/>
    </row>
    <row r="151" ht="12.75">
      <c r="E151" s="280"/>
    </row>
    <row r="152" ht="12.75">
      <c r="E152" s="280"/>
    </row>
    <row r="153" ht="12.75">
      <c r="E153" s="280"/>
    </row>
    <row r="154" ht="12.75">
      <c r="E154" s="280"/>
    </row>
    <row r="155" ht="12.75">
      <c r="E155" s="280"/>
    </row>
    <row r="156" ht="12.75">
      <c r="E156" s="280"/>
    </row>
    <row r="157" ht="12.75">
      <c r="E157" s="280"/>
    </row>
    <row r="158" ht="12.75">
      <c r="E158" s="280"/>
    </row>
    <row r="159" ht="12.75">
      <c r="E159" s="280"/>
    </row>
    <row r="160" ht="12.75">
      <c r="E160" s="280"/>
    </row>
    <row r="161" ht="12.75">
      <c r="E161" s="280"/>
    </row>
    <row r="162" ht="12.75">
      <c r="E162" s="280"/>
    </row>
    <row r="163" ht="12.75">
      <c r="E163" s="280"/>
    </row>
    <row r="164" ht="12.75">
      <c r="E164" s="280"/>
    </row>
    <row r="165" ht="12.75">
      <c r="E165" s="280"/>
    </row>
    <row r="166" ht="12.75">
      <c r="E166" s="280"/>
    </row>
    <row r="167" ht="12.75">
      <c r="E167" s="280"/>
    </row>
    <row r="168" ht="12.75">
      <c r="E168" s="280"/>
    </row>
    <row r="169" ht="12.75">
      <c r="E169" s="280"/>
    </row>
    <row r="170" ht="12.75">
      <c r="E170" s="280"/>
    </row>
    <row r="171" ht="12.75">
      <c r="E171" s="280"/>
    </row>
    <row r="172" ht="12.75">
      <c r="E172" s="280"/>
    </row>
    <row r="173" ht="12.75">
      <c r="E173" s="280"/>
    </row>
    <row r="174" ht="12.75">
      <c r="E174" s="280"/>
    </row>
    <row r="175" ht="12.75">
      <c r="E175" s="280"/>
    </row>
    <row r="176" ht="12.75">
      <c r="E176" s="280"/>
    </row>
    <row r="177" ht="12.75">
      <c r="E177" s="280"/>
    </row>
    <row r="178" ht="12.75">
      <c r="E178" s="280"/>
    </row>
    <row r="179" ht="12.75">
      <c r="E179" s="280"/>
    </row>
    <row r="180" ht="12.75">
      <c r="E180" s="280"/>
    </row>
    <row r="181" ht="12.75">
      <c r="E181" s="280"/>
    </row>
    <row r="182" ht="12.75">
      <c r="E182" s="280"/>
    </row>
    <row r="183" ht="12.75">
      <c r="E183" s="280"/>
    </row>
    <row r="184" ht="12.75">
      <c r="E184" s="280"/>
    </row>
    <row r="185" ht="12.75">
      <c r="E185" s="280"/>
    </row>
    <row r="186" ht="12.75">
      <c r="E186" s="280"/>
    </row>
    <row r="187" ht="12.75">
      <c r="E187" s="280"/>
    </row>
    <row r="188" ht="12.75">
      <c r="E188" s="280"/>
    </row>
    <row r="189" ht="12.75">
      <c r="E189" s="280"/>
    </row>
    <row r="190" ht="12.75">
      <c r="E190" s="280"/>
    </row>
    <row r="191" ht="12.75">
      <c r="E191" s="280"/>
    </row>
    <row r="192" ht="12.75">
      <c r="E192" s="280"/>
    </row>
    <row r="193" ht="12.75">
      <c r="E193" s="280"/>
    </row>
    <row r="194" ht="12.75">
      <c r="E194" s="280"/>
    </row>
    <row r="195" ht="12.75">
      <c r="E195" s="280"/>
    </row>
    <row r="196" ht="12.75">
      <c r="E196" s="280"/>
    </row>
    <row r="197" ht="12.75">
      <c r="E197" s="280"/>
    </row>
    <row r="198" ht="12.75">
      <c r="E198" s="280"/>
    </row>
    <row r="199" ht="12.75">
      <c r="E199" s="280"/>
    </row>
    <row r="200" ht="12.75">
      <c r="E200" s="280"/>
    </row>
    <row r="201" ht="12.75">
      <c r="E201" s="280"/>
    </row>
    <row r="202" ht="12.75">
      <c r="E202" s="280"/>
    </row>
    <row r="203" ht="12.75">
      <c r="E203" s="280"/>
    </row>
    <row r="204" ht="12.75">
      <c r="E204" s="280"/>
    </row>
    <row r="205" ht="12.75">
      <c r="E205" s="280"/>
    </row>
    <row r="206" ht="12.75">
      <c r="E206" s="280"/>
    </row>
    <row r="207" ht="12.75">
      <c r="E207" s="280"/>
    </row>
    <row r="208" ht="12.75">
      <c r="E208" s="280"/>
    </row>
    <row r="209" ht="12.75">
      <c r="E209" s="280"/>
    </row>
    <row r="210" ht="12.75">
      <c r="E210" s="280"/>
    </row>
    <row r="211" ht="12.75">
      <c r="E211" s="280"/>
    </row>
    <row r="212" ht="12.75">
      <c r="E212" s="280"/>
    </row>
    <row r="213" ht="12.75">
      <c r="E213" s="280"/>
    </row>
    <row r="214" ht="12.75">
      <c r="E214" s="280"/>
    </row>
    <row r="215" ht="12.75">
      <c r="E215" s="280"/>
    </row>
    <row r="216" ht="12.75">
      <c r="E216" s="280"/>
    </row>
    <row r="217" ht="12.75">
      <c r="E217" s="280"/>
    </row>
    <row r="218" ht="12.75">
      <c r="E218" s="280"/>
    </row>
    <row r="219" ht="12.75">
      <c r="E219" s="280"/>
    </row>
    <row r="220" ht="12.75">
      <c r="E220" s="280"/>
    </row>
    <row r="221" ht="12.75">
      <c r="E221" s="280"/>
    </row>
    <row r="222" ht="12.75">
      <c r="E222" s="280"/>
    </row>
    <row r="223" ht="12.75">
      <c r="E223" s="280"/>
    </row>
    <row r="224" ht="12.75">
      <c r="E224" s="280"/>
    </row>
    <row r="225" ht="12.75">
      <c r="E225" s="280"/>
    </row>
    <row r="226" ht="12.75">
      <c r="E226" s="280"/>
    </row>
    <row r="227" ht="12.75">
      <c r="E227" s="280"/>
    </row>
    <row r="228" ht="12.75">
      <c r="E228" s="280"/>
    </row>
    <row r="229" ht="12.75">
      <c r="E229" s="280"/>
    </row>
    <row r="230" ht="12.75">
      <c r="E230" s="280"/>
    </row>
    <row r="231" ht="12.75">
      <c r="E231" s="280"/>
    </row>
    <row r="232" ht="12.75">
      <c r="E232" s="280"/>
    </row>
    <row r="233" ht="12.75">
      <c r="E233" s="280"/>
    </row>
    <row r="234" ht="12.75">
      <c r="E234" s="280"/>
    </row>
    <row r="235" ht="12.75">
      <c r="E235" s="280"/>
    </row>
    <row r="236" ht="12.75">
      <c r="E236" s="280"/>
    </row>
    <row r="237" ht="12.75">
      <c r="E237" s="280"/>
    </row>
    <row r="238" ht="12.75">
      <c r="E238" s="280"/>
    </row>
    <row r="239" ht="12.75">
      <c r="E239" s="280"/>
    </row>
    <row r="240" ht="12.75">
      <c r="E240" s="280"/>
    </row>
    <row r="241" ht="12.75">
      <c r="E241" s="280"/>
    </row>
    <row r="242" ht="12.75">
      <c r="E242" s="280"/>
    </row>
    <row r="243" ht="12.75">
      <c r="E243" s="280"/>
    </row>
    <row r="244" ht="12.75">
      <c r="E244" s="280"/>
    </row>
    <row r="245" ht="12.75">
      <c r="E245" s="280"/>
    </row>
    <row r="246" ht="12.75">
      <c r="E246" s="280"/>
    </row>
    <row r="247" ht="12.75">
      <c r="E247" s="280"/>
    </row>
    <row r="248" ht="12.75">
      <c r="E248" s="280"/>
    </row>
    <row r="249" ht="12.75">
      <c r="E249" s="280"/>
    </row>
    <row r="250" ht="12.75">
      <c r="E250" s="280"/>
    </row>
    <row r="251" ht="12.75">
      <c r="E251" s="280"/>
    </row>
    <row r="252" ht="12.75">
      <c r="E252" s="280"/>
    </row>
    <row r="253" ht="12.75">
      <c r="E253" s="280"/>
    </row>
    <row r="254" ht="12.75">
      <c r="E254" s="280"/>
    </row>
    <row r="255" ht="12.75">
      <c r="E255" s="280"/>
    </row>
    <row r="256" ht="12.75">
      <c r="E256" s="280"/>
    </row>
    <row r="257" ht="12.75">
      <c r="E257" s="280"/>
    </row>
    <row r="258" ht="12.75">
      <c r="E258" s="280"/>
    </row>
    <row r="259" ht="12.75">
      <c r="E259" s="280"/>
    </row>
    <row r="260" ht="12.75">
      <c r="E260" s="280"/>
    </row>
    <row r="261" ht="12.75">
      <c r="E261" s="280"/>
    </row>
    <row r="262" ht="12.75">
      <c r="E262" s="280"/>
    </row>
    <row r="263" ht="12.75">
      <c r="E263" s="280"/>
    </row>
    <row r="264" ht="12.75">
      <c r="E264" s="280"/>
    </row>
    <row r="265" ht="12.75">
      <c r="E265" s="280"/>
    </row>
    <row r="266" ht="12.75">
      <c r="E266" s="280"/>
    </row>
    <row r="267" ht="12.75">
      <c r="E267" s="280"/>
    </row>
    <row r="268" ht="12.75">
      <c r="E268" s="280"/>
    </row>
    <row r="269" ht="12.75">
      <c r="E269" s="280"/>
    </row>
    <row r="270" ht="12.75">
      <c r="E270" s="280"/>
    </row>
    <row r="271" ht="12.75">
      <c r="E271" s="280"/>
    </row>
    <row r="272" ht="12.75">
      <c r="E272" s="280"/>
    </row>
    <row r="273" ht="12.75">
      <c r="E273" s="280"/>
    </row>
    <row r="274" ht="12.75">
      <c r="E274" s="280"/>
    </row>
    <row r="275" ht="12.75">
      <c r="E275" s="280"/>
    </row>
    <row r="276" ht="12.75">
      <c r="E276" s="280"/>
    </row>
    <row r="277" ht="12.75">
      <c r="E277" s="280"/>
    </row>
    <row r="278" ht="12.75">
      <c r="E278" s="280"/>
    </row>
    <row r="279" ht="12.75">
      <c r="E279" s="280"/>
    </row>
    <row r="280" ht="12.75">
      <c r="E280" s="280"/>
    </row>
    <row r="281" ht="12.75">
      <c r="E281" s="280"/>
    </row>
    <row r="282" ht="12.75">
      <c r="E282" s="280"/>
    </row>
    <row r="283" ht="12.75">
      <c r="E283" s="280"/>
    </row>
    <row r="284" ht="12.75">
      <c r="E284" s="280"/>
    </row>
    <row r="285" ht="12.75">
      <c r="E285" s="280"/>
    </row>
    <row r="286" ht="12.75">
      <c r="E286" s="280"/>
    </row>
    <row r="287" ht="12.75">
      <c r="E287" s="280"/>
    </row>
    <row r="288" ht="12.75">
      <c r="E288" s="280"/>
    </row>
    <row r="289" ht="12.75">
      <c r="E289" s="280"/>
    </row>
    <row r="290" ht="12.75">
      <c r="E290" s="280"/>
    </row>
    <row r="291" ht="12.75">
      <c r="E291" s="280"/>
    </row>
    <row r="292" ht="12.75">
      <c r="E292" s="280"/>
    </row>
    <row r="293" ht="12.75">
      <c r="E293" s="280"/>
    </row>
    <row r="294" ht="12.75">
      <c r="E294" s="280"/>
    </row>
    <row r="295" ht="12.75">
      <c r="E295" s="280"/>
    </row>
    <row r="296" ht="12.75">
      <c r="E296" s="280"/>
    </row>
    <row r="297" ht="12.75">
      <c r="E297" s="280"/>
    </row>
    <row r="298" ht="12.75">
      <c r="E298" s="280"/>
    </row>
    <row r="299" ht="12.75">
      <c r="E299" s="280"/>
    </row>
    <row r="300" ht="12.75">
      <c r="E300" s="280"/>
    </row>
    <row r="301" ht="12.75">
      <c r="E301" s="280"/>
    </row>
    <row r="302" ht="12.75">
      <c r="E302" s="280"/>
    </row>
    <row r="303" ht="12.75">
      <c r="E303" s="280"/>
    </row>
    <row r="304" ht="12.75">
      <c r="E304" s="280"/>
    </row>
    <row r="305" ht="12.75">
      <c r="E305" s="280"/>
    </row>
    <row r="306" ht="12.75">
      <c r="E306" s="280"/>
    </row>
    <row r="307" ht="12.75">
      <c r="E307" s="280"/>
    </row>
    <row r="308" ht="12.75">
      <c r="E308" s="280"/>
    </row>
    <row r="309" ht="12.75">
      <c r="E309" s="280"/>
    </row>
    <row r="310" ht="12.75">
      <c r="E310" s="280"/>
    </row>
    <row r="311" ht="12.75">
      <c r="E311" s="280"/>
    </row>
    <row r="312" ht="12.75">
      <c r="E312" s="280"/>
    </row>
    <row r="313" ht="12.75">
      <c r="E313" s="280"/>
    </row>
    <row r="314" ht="12.75">
      <c r="E314" s="280"/>
    </row>
    <row r="315" ht="12.75">
      <c r="E315" s="280"/>
    </row>
    <row r="316" ht="12.75">
      <c r="E316" s="280"/>
    </row>
    <row r="317" ht="12.75">
      <c r="E317" s="280"/>
    </row>
    <row r="318" ht="12.75">
      <c r="E318" s="280"/>
    </row>
    <row r="319" ht="12.75">
      <c r="E319" s="280"/>
    </row>
    <row r="320" ht="12.75">
      <c r="E320" s="280"/>
    </row>
    <row r="321" ht="12.75">
      <c r="E321" s="280"/>
    </row>
    <row r="322" ht="12.75">
      <c r="E322" s="280"/>
    </row>
    <row r="323" ht="12.75">
      <c r="E323" s="280"/>
    </row>
    <row r="324" ht="12.75">
      <c r="E324" s="280"/>
    </row>
    <row r="325" ht="12.75">
      <c r="E325" s="280"/>
    </row>
    <row r="326" ht="12.75">
      <c r="E326" s="280"/>
    </row>
    <row r="327" ht="12.75">
      <c r="E327" s="280"/>
    </row>
    <row r="328" ht="12.75">
      <c r="E328" s="280"/>
    </row>
    <row r="329" ht="12.75">
      <c r="E329" s="280"/>
    </row>
    <row r="330" ht="12.75">
      <c r="E330" s="280"/>
    </row>
    <row r="331" ht="12.75">
      <c r="E331" s="280"/>
    </row>
    <row r="332" ht="12.75">
      <c r="E332" s="280"/>
    </row>
    <row r="333" ht="12.75">
      <c r="E333" s="280"/>
    </row>
    <row r="334" ht="12.75">
      <c r="E334" s="280"/>
    </row>
    <row r="335" ht="12.75">
      <c r="E335" s="280"/>
    </row>
    <row r="336" ht="12.75">
      <c r="E336" s="280"/>
    </row>
    <row r="337" ht="12.75">
      <c r="E337" s="280"/>
    </row>
    <row r="338" ht="12.75">
      <c r="E338" s="280"/>
    </row>
    <row r="339" ht="12.75">
      <c r="E339" s="280"/>
    </row>
    <row r="340" ht="12.75">
      <c r="E340" s="280"/>
    </row>
    <row r="341" ht="12.75">
      <c r="E341" s="280"/>
    </row>
    <row r="342" ht="12.75">
      <c r="E342" s="280"/>
    </row>
    <row r="343" ht="12.75">
      <c r="E343" s="280"/>
    </row>
    <row r="344" ht="12.75">
      <c r="E344" s="280"/>
    </row>
    <row r="345" ht="12.75">
      <c r="E345" s="280"/>
    </row>
    <row r="346" ht="12.75">
      <c r="E346" s="280"/>
    </row>
    <row r="347" ht="12.75">
      <c r="E347" s="280"/>
    </row>
    <row r="348" ht="12.75">
      <c r="E348" s="280"/>
    </row>
    <row r="349" ht="12.75">
      <c r="E349" s="280"/>
    </row>
    <row r="350" ht="12.75">
      <c r="E350" s="280"/>
    </row>
    <row r="351" ht="12.75">
      <c r="E351" s="280"/>
    </row>
    <row r="352" ht="12.75">
      <c r="E352" s="280"/>
    </row>
    <row r="353" ht="12.75">
      <c r="E353" s="280"/>
    </row>
    <row r="354" ht="12.75">
      <c r="E354" s="280"/>
    </row>
    <row r="355" ht="12.75">
      <c r="E355" s="280"/>
    </row>
    <row r="356" ht="12.75">
      <c r="E356" s="280"/>
    </row>
    <row r="357" ht="12.75">
      <c r="E357" s="280"/>
    </row>
    <row r="358" ht="12.75">
      <c r="E358" s="280"/>
    </row>
    <row r="359" ht="12.75">
      <c r="E359" s="280"/>
    </row>
    <row r="360" ht="12.75">
      <c r="E360" s="280"/>
    </row>
    <row r="361" ht="12.75">
      <c r="E361" s="280"/>
    </row>
    <row r="362" ht="12.75">
      <c r="E362" s="280"/>
    </row>
    <row r="363" ht="12.75">
      <c r="E363" s="280"/>
    </row>
    <row r="364" ht="12.75">
      <c r="E364" s="280"/>
    </row>
    <row r="365" ht="12.75">
      <c r="E365" s="280"/>
    </row>
    <row r="366" ht="12.75">
      <c r="E366" s="280"/>
    </row>
    <row r="367" ht="12.75">
      <c r="E367" s="280"/>
    </row>
    <row r="368" ht="12.75">
      <c r="E368" s="280"/>
    </row>
    <row r="369" ht="12.75">
      <c r="E369" s="280"/>
    </row>
    <row r="370" ht="12.75">
      <c r="E370" s="280"/>
    </row>
    <row r="371" ht="12.75">
      <c r="E371" s="280"/>
    </row>
    <row r="372" ht="12.75">
      <c r="E372" s="280"/>
    </row>
    <row r="373" ht="12.75">
      <c r="E373" s="280"/>
    </row>
    <row r="374" ht="12.75">
      <c r="E374" s="280"/>
    </row>
    <row r="375" ht="12.75">
      <c r="E375" s="280"/>
    </row>
    <row r="376" ht="12.75">
      <c r="E376" s="280"/>
    </row>
    <row r="377" ht="12.75">
      <c r="E377" s="280"/>
    </row>
    <row r="378" ht="12.75">
      <c r="E378" s="280"/>
    </row>
    <row r="379" ht="12.75">
      <c r="E379" s="280"/>
    </row>
    <row r="380" ht="12.75">
      <c r="E380" s="280"/>
    </row>
    <row r="381" ht="12.75">
      <c r="E381" s="280"/>
    </row>
    <row r="382" ht="12.75">
      <c r="E382" s="280"/>
    </row>
    <row r="383" ht="12.75">
      <c r="E383" s="280"/>
    </row>
    <row r="384" ht="12.75">
      <c r="E384" s="280"/>
    </row>
    <row r="385" ht="12.75">
      <c r="E385" s="280"/>
    </row>
    <row r="386" ht="12.75">
      <c r="E386" s="280"/>
    </row>
    <row r="387" ht="12.75">
      <c r="E387" s="280"/>
    </row>
    <row r="388" ht="12.75">
      <c r="E388" s="280"/>
    </row>
    <row r="389" ht="12.75">
      <c r="E389" s="280"/>
    </row>
    <row r="390" ht="12.75">
      <c r="E390" s="280"/>
    </row>
    <row r="391" ht="12.75">
      <c r="E391" s="280"/>
    </row>
    <row r="392" ht="12.75">
      <c r="E392" s="280"/>
    </row>
    <row r="393" ht="12.75">
      <c r="E393" s="280"/>
    </row>
    <row r="394" ht="12.75">
      <c r="E394" s="280"/>
    </row>
    <row r="395" ht="12.75">
      <c r="E395" s="280"/>
    </row>
    <row r="396" ht="12.75">
      <c r="E396" s="280"/>
    </row>
    <row r="397" ht="12.75">
      <c r="E397" s="280"/>
    </row>
    <row r="398" ht="12.75">
      <c r="E398" s="280"/>
    </row>
    <row r="399" ht="12.75">
      <c r="E399" s="280"/>
    </row>
    <row r="400" ht="12.75">
      <c r="E400" s="280"/>
    </row>
    <row r="401" ht="12.75">
      <c r="E401" s="280"/>
    </row>
    <row r="402" ht="12.75">
      <c r="E402" s="280"/>
    </row>
    <row r="403" ht="12.75">
      <c r="E403" s="280"/>
    </row>
    <row r="404" ht="12.75">
      <c r="E404" s="280"/>
    </row>
    <row r="405" ht="12.75">
      <c r="E405" s="280"/>
    </row>
    <row r="406" ht="12.75">
      <c r="E406" s="280"/>
    </row>
    <row r="407" ht="12.75">
      <c r="E407" s="280"/>
    </row>
    <row r="408" ht="12.75">
      <c r="E408" s="280"/>
    </row>
    <row r="409" ht="12.75">
      <c r="E409" s="280"/>
    </row>
    <row r="410" ht="12.75">
      <c r="E410" s="280"/>
    </row>
    <row r="411" ht="12.75">
      <c r="E411" s="280"/>
    </row>
    <row r="412" ht="12.75">
      <c r="E412" s="280"/>
    </row>
    <row r="413" ht="12.75">
      <c r="E413" s="280"/>
    </row>
    <row r="414" ht="12.75">
      <c r="E414" s="280"/>
    </row>
    <row r="415" ht="12.75">
      <c r="E415" s="280"/>
    </row>
    <row r="416" ht="12.75">
      <c r="E416" s="280"/>
    </row>
    <row r="417" ht="12.75">
      <c r="E417" s="280"/>
    </row>
    <row r="418" ht="12.75">
      <c r="E418" s="280"/>
    </row>
    <row r="419" ht="12.75">
      <c r="E419" s="280"/>
    </row>
    <row r="420" ht="12.75">
      <c r="E420" s="280"/>
    </row>
    <row r="421" ht="12.75">
      <c r="E421" s="280"/>
    </row>
    <row r="422" ht="12.75">
      <c r="E422" s="280"/>
    </row>
    <row r="423" ht="12.75">
      <c r="E423" s="280"/>
    </row>
    <row r="424" ht="12.75">
      <c r="E424" s="280"/>
    </row>
    <row r="425" ht="12.75">
      <c r="E425" s="280"/>
    </row>
    <row r="426" ht="12.75">
      <c r="E426" s="280"/>
    </row>
    <row r="427" ht="12.75">
      <c r="E427" s="280"/>
    </row>
    <row r="428" ht="12.75">
      <c r="E428" s="280"/>
    </row>
    <row r="429" ht="12.75">
      <c r="E429" s="280"/>
    </row>
    <row r="430" ht="12.75">
      <c r="E430" s="280"/>
    </row>
    <row r="431" ht="12.75">
      <c r="E431" s="280"/>
    </row>
    <row r="432" ht="12.75">
      <c r="E432" s="280"/>
    </row>
    <row r="433" ht="12.75">
      <c r="E433" s="280"/>
    </row>
    <row r="434" ht="12.75">
      <c r="E434" s="280"/>
    </row>
    <row r="435" ht="12.75">
      <c r="E435" s="280"/>
    </row>
    <row r="436" ht="12.75">
      <c r="E436" s="280"/>
    </row>
    <row r="437" ht="12.75">
      <c r="E437" s="280"/>
    </row>
    <row r="438" ht="12.75">
      <c r="E438" s="280"/>
    </row>
    <row r="439" ht="12.75">
      <c r="E439" s="280"/>
    </row>
    <row r="440" ht="12.75">
      <c r="E440" s="280"/>
    </row>
    <row r="441" ht="12.75">
      <c r="E441" s="280"/>
    </row>
    <row r="442" ht="12.75">
      <c r="E442" s="280"/>
    </row>
    <row r="443" ht="12.75">
      <c r="E443" s="280"/>
    </row>
    <row r="444" ht="12.75">
      <c r="E444" s="280"/>
    </row>
    <row r="445" ht="12.75">
      <c r="E445" s="280"/>
    </row>
    <row r="446" ht="12.75">
      <c r="E446" s="280"/>
    </row>
    <row r="447" ht="12.75">
      <c r="E447" s="280"/>
    </row>
    <row r="448" ht="12.75">
      <c r="E448" s="280"/>
    </row>
    <row r="449" ht="12.75">
      <c r="E449" s="280"/>
    </row>
    <row r="450" ht="12.75">
      <c r="E450" s="280"/>
    </row>
    <row r="451" ht="12.75">
      <c r="E451" s="280"/>
    </row>
    <row r="452" ht="12.75">
      <c r="E452" s="280"/>
    </row>
    <row r="453" ht="12.75">
      <c r="E453" s="280"/>
    </row>
    <row r="454" ht="12.75">
      <c r="E454" s="280"/>
    </row>
    <row r="455" ht="12.75">
      <c r="E455" s="280"/>
    </row>
    <row r="456" ht="12.75">
      <c r="E456" s="280"/>
    </row>
    <row r="457" ht="12.75">
      <c r="E457" s="280"/>
    </row>
    <row r="458" ht="12.75">
      <c r="E458" s="280"/>
    </row>
    <row r="459" ht="12.75">
      <c r="E459" s="280"/>
    </row>
    <row r="460" ht="12.75">
      <c r="E460" s="280"/>
    </row>
    <row r="461" ht="12.75">
      <c r="E461" s="280"/>
    </row>
    <row r="462" ht="12.75">
      <c r="E462" s="280"/>
    </row>
    <row r="463" ht="12.75">
      <c r="E463" s="280"/>
    </row>
    <row r="464" ht="12.75">
      <c r="E464" s="280"/>
    </row>
    <row r="465" ht="12.75">
      <c r="E465" s="280"/>
    </row>
    <row r="466" ht="12.75">
      <c r="E466" s="280"/>
    </row>
    <row r="467" ht="12.75">
      <c r="E467" s="280"/>
    </row>
    <row r="468" ht="12.75">
      <c r="E468" s="280"/>
    </row>
    <row r="469" ht="12.75">
      <c r="E469" s="280"/>
    </row>
    <row r="470" ht="12.75">
      <c r="E470" s="280"/>
    </row>
    <row r="471" ht="12.75">
      <c r="E471" s="280"/>
    </row>
    <row r="472" ht="12.75">
      <c r="E472" s="280"/>
    </row>
    <row r="473" ht="12.75">
      <c r="E473" s="280"/>
    </row>
    <row r="474" ht="12.75">
      <c r="E474" s="280"/>
    </row>
    <row r="475" ht="12.75">
      <c r="E475" s="280"/>
    </row>
    <row r="476" ht="12.75">
      <c r="E476" s="280"/>
    </row>
    <row r="477" ht="12.75">
      <c r="E477" s="280"/>
    </row>
    <row r="478" ht="12.75">
      <c r="E478" s="280"/>
    </row>
    <row r="479" ht="12.75">
      <c r="E479" s="280"/>
    </row>
    <row r="480" ht="12.75">
      <c r="E480" s="280"/>
    </row>
    <row r="481" ht="12.75">
      <c r="E481" s="280"/>
    </row>
    <row r="482" ht="12.75">
      <c r="E482" s="280"/>
    </row>
    <row r="483" ht="12.75">
      <c r="E483" s="280"/>
    </row>
    <row r="484" ht="12.75">
      <c r="E484" s="280"/>
    </row>
    <row r="485" ht="12.75">
      <c r="E485" s="280"/>
    </row>
    <row r="486" ht="12.75">
      <c r="E486" s="280"/>
    </row>
    <row r="487" ht="12.75">
      <c r="E487" s="280"/>
    </row>
    <row r="488" ht="12.75">
      <c r="E488" s="280"/>
    </row>
    <row r="489" ht="12.75">
      <c r="E489" s="280"/>
    </row>
    <row r="490" ht="12.75">
      <c r="E490" s="280"/>
    </row>
    <row r="491" ht="12.75">
      <c r="E491" s="280"/>
    </row>
    <row r="492" ht="12.75">
      <c r="E492" s="280"/>
    </row>
    <row r="493" ht="12.75">
      <c r="E493" s="280"/>
    </row>
    <row r="494" ht="12.75">
      <c r="E494" s="280"/>
    </row>
    <row r="495" ht="12.75">
      <c r="E495" s="280"/>
    </row>
    <row r="496" ht="12.75">
      <c r="E496" s="280"/>
    </row>
    <row r="497" ht="12.75">
      <c r="E497" s="280"/>
    </row>
    <row r="498" ht="12.75">
      <c r="E498" s="280"/>
    </row>
    <row r="499" ht="12.75">
      <c r="E499" s="280"/>
    </row>
    <row r="500" ht="12.75">
      <c r="E500" s="280"/>
    </row>
    <row r="501" ht="12.75">
      <c r="E501" s="280"/>
    </row>
    <row r="502" ht="12.75">
      <c r="E502" s="280"/>
    </row>
    <row r="503" ht="12.75">
      <c r="E503" s="280"/>
    </row>
    <row r="504" ht="12.75">
      <c r="E504" s="280"/>
    </row>
    <row r="505" ht="12.75">
      <c r="E505" s="280"/>
    </row>
    <row r="506" ht="12.75">
      <c r="E506" s="280"/>
    </row>
    <row r="507" ht="12.75">
      <c r="E507" s="280"/>
    </row>
    <row r="508" ht="12.75">
      <c r="E508" s="280"/>
    </row>
    <row r="509" ht="12.75">
      <c r="E509" s="280"/>
    </row>
    <row r="510" ht="12.75">
      <c r="E510" s="280"/>
    </row>
    <row r="511" ht="12.75">
      <c r="E511" s="280"/>
    </row>
    <row r="512" ht="12.75">
      <c r="E512" s="280"/>
    </row>
    <row r="513" ht="12.75">
      <c r="E513" s="280"/>
    </row>
    <row r="514" ht="12.75">
      <c r="E514" s="280"/>
    </row>
    <row r="515" ht="12.75">
      <c r="E515" s="280"/>
    </row>
    <row r="516" ht="12.75">
      <c r="E516" s="280"/>
    </row>
    <row r="517" ht="12.75">
      <c r="E517" s="280"/>
    </row>
    <row r="518" ht="12.75">
      <c r="E518" s="280"/>
    </row>
    <row r="519" ht="12.75">
      <c r="E519" s="280"/>
    </row>
    <row r="520" ht="12.75">
      <c r="E520" s="280"/>
    </row>
    <row r="521" ht="12.75">
      <c r="E521" s="280"/>
    </row>
    <row r="522" ht="12.75">
      <c r="E522" s="280"/>
    </row>
    <row r="523" ht="12.75">
      <c r="E523" s="280"/>
    </row>
    <row r="524" ht="12.75">
      <c r="E524" s="280"/>
    </row>
    <row r="525" ht="12.75">
      <c r="E525" s="280"/>
    </row>
    <row r="526" ht="12.75">
      <c r="E526" s="280"/>
    </row>
    <row r="527" ht="12.75">
      <c r="E527" s="280"/>
    </row>
    <row r="528" ht="12.75">
      <c r="E528" s="280"/>
    </row>
    <row r="529" ht="12.75">
      <c r="E529" s="280"/>
    </row>
    <row r="530" ht="12.75">
      <c r="E530" s="280"/>
    </row>
    <row r="531" ht="12.75">
      <c r="E531" s="280"/>
    </row>
    <row r="532" ht="12.75">
      <c r="E532" s="280"/>
    </row>
    <row r="533" ht="12.75">
      <c r="E533" s="280"/>
    </row>
    <row r="534" ht="12.75">
      <c r="E534" s="280"/>
    </row>
    <row r="535" ht="12.75">
      <c r="E535" s="280"/>
    </row>
    <row r="536" ht="12.75">
      <c r="E536" s="280"/>
    </row>
    <row r="537" ht="12.75">
      <c r="E537" s="280"/>
    </row>
    <row r="538" ht="12.75">
      <c r="E538" s="280"/>
    </row>
    <row r="539" ht="12.75">
      <c r="E539" s="280"/>
    </row>
    <row r="540" ht="12.75">
      <c r="E540" s="280"/>
    </row>
    <row r="541" ht="12.75">
      <c r="E541" s="280"/>
    </row>
    <row r="542" ht="12.75">
      <c r="E542" s="280"/>
    </row>
    <row r="543" ht="12.75">
      <c r="E543" s="280"/>
    </row>
    <row r="544" ht="12.75">
      <c r="E544" s="280"/>
    </row>
    <row r="545" ht="12.75">
      <c r="E545" s="280"/>
    </row>
    <row r="546" ht="12.75">
      <c r="E546" s="280"/>
    </row>
    <row r="547" ht="12.75">
      <c r="E547" s="280"/>
    </row>
    <row r="548" ht="12.75">
      <c r="E548" s="280"/>
    </row>
    <row r="549" ht="12.75">
      <c r="E549" s="280"/>
    </row>
    <row r="550" ht="12.75">
      <c r="E550" s="280"/>
    </row>
    <row r="551" ht="12.75">
      <c r="E551" s="280"/>
    </row>
    <row r="552" ht="12.75">
      <c r="E552" s="280"/>
    </row>
    <row r="553" ht="12.75">
      <c r="E553" s="280"/>
    </row>
    <row r="554" ht="12.75">
      <c r="E554" s="280"/>
    </row>
    <row r="555" ht="12.75">
      <c r="E555" s="280"/>
    </row>
    <row r="556" ht="12.75">
      <c r="E556" s="280"/>
    </row>
    <row r="557" ht="12.75">
      <c r="E557" s="280"/>
    </row>
    <row r="558" ht="12.75">
      <c r="E558" s="280"/>
    </row>
    <row r="559" ht="12.75">
      <c r="E559" s="280"/>
    </row>
    <row r="560" ht="12.75">
      <c r="E560" s="280"/>
    </row>
    <row r="561" ht="12.75">
      <c r="E561" s="280"/>
    </row>
    <row r="562" ht="12.75">
      <c r="E562" s="280"/>
    </row>
    <row r="563" ht="12.75">
      <c r="E563" s="280"/>
    </row>
    <row r="564" ht="12.75">
      <c r="E564" s="280"/>
    </row>
    <row r="565" ht="12.75">
      <c r="E565" s="280"/>
    </row>
    <row r="566" ht="12.75">
      <c r="E566" s="280"/>
    </row>
    <row r="567" ht="12.75">
      <c r="E567" s="280"/>
    </row>
    <row r="568" ht="12.75">
      <c r="E568" s="280"/>
    </row>
    <row r="569" ht="12.75">
      <c r="E569" s="280"/>
    </row>
    <row r="570" ht="12.75">
      <c r="E570" s="280"/>
    </row>
    <row r="571" ht="12.75">
      <c r="E571" s="280"/>
    </row>
    <row r="572" ht="12.75">
      <c r="E572" s="280"/>
    </row>
    <row r="573" ht="12.75">
      <c r="E573" s="280"/>
    </row>
    <row r="574" ht="12.75">
      <c r="E574" s="280"/>
    </row>
    <row r="575" ht="12.75">
      <c r="E575" s="280"/>
    </row>
    <row r="576" ht="12.75">
      <c r="E576" s="280"/>
    </row>
    <row r="577" ht="12.75">
      <c r="E577" s="280"/>
    </row>
    <row r="578" ht="12.75">
      <c r="E578" s="280"/>
    </row>
    <row r="579" ht="12.75">
      <c r="E579" s="280"/>
    </row>
    <row r="580" ht="12.75">
      <c r="E580" s="280"/>
    </row>
    <row r="581" ht="12.75">
      <c r="E581" s="280"/>
    </row>
    <row r="582" ht="12.75">
      <c r="E582" s="280"/>
    </row>
    <row r="583" ht="12.75">
      <c r="E583" s="280"/>
    </row>
    <row r="584" ht="12.75">
      <c r="E584" s="280"/>
    </row>
    <row r="585" ht="12.75">
      <c r="E585" s="280"/>
    </row>
    <row r="586" ht="12.75">
      <c r="E586" s="280"/>
    </row>
    <row r="587" ht="12.75">
      <c r="E587" s="280"/>
    </row>
    <row r="588" ht="12.75">
      <c r="E588" s="280"/>
    </row>
    <row r="589" ht="12.75">
      <c r="E589" s="280"/>
    </row>
    <row r="590" ht="12.75">
      <c r="E590" s="280"/>
    </row>
    <row r="591" ht="12.75">
      <c r="E591" s="280"/>
    </row>
    <row r="592" ht="12.75">
      <c r="E592" s="280"/>
    </row>
    <row r="593" ht="12.75">
      <c r="E593" s="280"/>
    </row>
    <row r="594" ht="12.75">
      <c r="E594" s="280"/>
    </row>
    <row r="595" ht="12.75">
      <c r="E595" s="280"/>
    </row>
    <row r="596" ht="12.75">
      <c r="E596" s="280"/>
    </row>
    <row r="597" ht="12.75">
      <c r="E597" s="280"/>
    </row>
    <row r="598" ht="12.75">
      <c r="E598" s="280"/>
    </row>
    <row r="599" ht="12.75">
      <c r="E599" s="280"/>
    </row>
    <row r="600" ht="12.75">
      <c r="E600" s="280"/>
    </row>
    <row r="601" ht="12.75">
      <c r="E601" s="280"/>
    </row>
    <row r="602" ht="12.75">
      <c r="E602" s="280"/>
    </row>
    <row r="603" ht="12.75">
      <c r="E603" s="280"/>
    </row>
    <row r="604" ht="12.75">
      <c r="E604" s="280"/>
    </row>
    <row r="605" ht="12.75">
      <c r="E605" s="280"/>
    </row>
    <row r="606" ht="12.75">
      <c r="E606" s="280"/>
    </row>
    <row r="607" ht="12.75">
      <c r="E607" s="280"/>
    </row>
    <row r="608" ht="12.75">
      <c r="E608" s="280"/>
    </row>
    <row r="609" ht="12.75">
      <c r="E609" s="280"/>
    </row>
    <row r="610" ht="12.75">
      <c r="E610" s="280"/>
    </row>
    <row r="611" ht="12.75">
      <c r="E611" s="280"/>
    </row>
    <row r="612" ht="12.75">
      <c r="E612" s="280"/>
    </row>
    <row r="613" ht="12.75">
      <c r="E613" s="280"/>
    </row>
    <row r="614" ht="12.75">
      <c r="E614" s="280"/>
    </row>
    <row r="615" ht="12.75">
      <c r="E615" s="280"/>
    </row>
    <row r="616" ht="12.75">
      <c r="E616" s="280"/>
    </row>
    <row r="617" ht="12.75">
      <c r="E617" s="280"/>
    </row>
    <row r="618" ht="12.75">
      <c r="E618" s="280"/>
    </row>
    <row r="619" ht="12.75">
      <c r="E619" s="280"/>
    </row>
    <row r="620" ht="12.75">
      <c r="E620" s="280"/>
    </row>
    <row r="621" ht="12.75">
      <c r="E621" s="280"/>
    </row>
    <row r="622" ht="12.75">
      <c r="E622" s="280"/>
    </row>
    <row r="623" ht="12.75">
      <c r="E623" s="280"/>
    </row>
    <row r="624" ht="12.75">
      <c r="E624" s="280"/>
    </row>
    <row r="625" ht="12.75">
      <c r="E625" s="280"/>
    </row>
    <row r="626" ht="12.75">
      <c r="E626" s="280"/>
    </row>
    <row r="627" ht="12.75">
      <c r="E627" s="280"/>
    </row>
    <row r="628" ht="12.75">
      <c r="E628" s="280"/>
    </row>
    <row r="629" ht="12.75">
      <c r="E629" s="280"/>
    </row>
    <row r="630" ht="12.75">
      <c r="E630" s="280"/>
    </row>
    <row r="631" ht="12.75">
      <c r="E631" s="280"/>
    </row>
    <row r="632" ht="12.75">
      <c r="E632" s="280"/>
    </row>
    <row r="633" ht="12.75">
      <c r="E633" s="280"/>
    </row>
    <row r="634" ht="12.75">
      <c r="E634" s="280"/>
    </row>
    <row r="635" ht="12.75">
      <c r="E635" s="280"/>
    </row>
    <row r="636" ht="12.75">
      <c r="E636" s="280"/>
    </row>
    <row r="637" ht="12.75">
      <c r="E637" s="280"/>
    </row>
    <row r="638" ht="12.75">
      <c r="E638" s="280"/>
    </row>
    <row r="639" ht="12.75">
      <c r="E639" s="280"/>
    </row>
    <row r="640" ht="12.75">
      <c r="E640" s="280"/>
    </row>
    <row r="641" ht="12.75">
      <c r="E641" s="280"/>
    </row>
    <row r="642" ht="12.75">
      <c r="E642" s="280"/>
    </row>
    <row r="643" ht="12.75">
      <c r="E643" s="280"/>
    </row>
    <row r="644" ht="12.75">
      <c r="E644" s="280"/>
    </row>
    <row r="645" ht="12.75">
      <c r="E645" s="280"/>
    </row>
    <row r="646" ht="12.75">
      <c r="E646" s="280"/>
    </row>
    <row r="647" ht="12.75">
      <c r="E647" s="280"/>
    </row>
    <row r="648" ht="12.75">
      <c r="E648" s="280"/>
    </row>
    <row r="649" ht="12.75">
      <c r="E649" s="280"/>
    </row>
    <row r="650" ht="12.75">
      <c r="E650" s="280"/>
    </row>
    <row r="651" ht="12.75">
      <c r="E651" s="280"/>
    </row>
    <row r="652" ht="12.75">
      <c r="E652" s="280"/>
    </row>
    <row r="653" ht="12.75">
      <c r="E653" s="280"/>
    </row>
    <row r="654" ht="12.75">
      <c r="E654" s="280"/>
    </row>
    <row r="655" ht="12.75">
      <c r="E655" s="280"/>
    </row>
    <row r="656" ht="12.75">
      <c r="E656" s="280"/>
    </row>
    <row r="657" ht="12.75">
      <c r="E657" s="280"/>
    </row>
    <row r="658" ht="12.75">
      <c r="E658" s="280"/>
    </row>
    <row r="659" ht="12.75">
      <c r="E659" s="280"/>
    </row>
    <row r="660" ht="12.75">
      <c r="E660" s="280"/>
    </row>
    <row r="661" ht="12.75">
      <c r="E661" s="280"/>
    </row>
    <row r="662" ht="12.75">
      <c r="E662" s="280"/>
    </row>
    <row r="663" ht="12.75">
      <c r="E663" s="280"/>
    </row>
    <row r="664" ht="12.75">
      <c r="E664" s="280"/>
    </row>
    <row r="665" ht="12.75">
      <c r="E665" s="280"/>
    </row>
    <row r="666" ht="12.75">
      <c r="E666" s="280"/>
    </row>
    <row r="667" ht="12.75">
      <c r="E667" s="280"/>
    </row>
    <row r="668" ht="12.75">
      <c r="E668" s="280"/>
    </row>
    <row r="669" ht="12.75">
      <c r="E669" s="280"/>
    </row>
    <row r="670" ht="12.75">
      <c r="E670" s="280"/>
    </row>
    <row r="671" ht="12.75">
      <c r="E671" s="280"/>
    </row>
    <row r="672" ht="12.75">
      <c r="E672" s="280"/>
    </row>
    <row r="673" ht="12.75">
      <c r="E673" s="280"/>
    </row>
    <row r="674" ht="12.75">
      <c r="E674" s="280"/>
    </row>
    <row r="675" ht="12.75">
      <c r="E675" s="280"/>
    </row>
    <row r="676" ht="12.75">
      <c r="E676" s="280"/>
    </row>
    <row r="677" ht="12.75">
      <c r="E677" s="280"/>
    </row>
    <row r="678" ht="12.75">
      <c r="E678" s="280"/>
    </row>
    <row r="679" ht="12.75">
      <c r="E679" s="280"/>
    </row>
    <row r="680" ht="12.75">
      <c r="E680" s="280"/>
    </row>
    <row r="681" ht="12.75">
      <c r="E681" s="280"/>
    </row>
    <row r="682" ht="12.75">
      <c r="E682" s="280"/>
    </row>
    <row r="683" ht="12.75">
      <c r="E683" s="280"/>
    </row>
    <row r="684" ht="12.75">
      <c r="E684" s="280"/>
    </row>
    <row r="685" ht="12.75">
      <c r="E685" s="280"/>
    </row>
    <row r="686" ht="12.75">
      <c r="E686" s="280"/>
    </row>
    <row r="687" ht="12.75">
      <c r="E687" s="280"/>
    </row>
    <row r="688" ht="12.75">
      <c r="E688" s="280"/>
    </row>
    <row r="689" ht="12.75">
      <c r="E689" s="280"/>
    </row>
    <row r="690" ht="12.75">
      <c r="E690" s="280"/>
    </row>
    <row r="691" ht="12.75">
      <c r="E691" s="280"/>
    </row>
    <row r="692" ht="12.75">
      <c r="E692" s="280"/>
    </row>
    <row r="693" ht="12.75">
      <c r="E693" s="280"/>
    </row>
    <row r="694" ht="12.75">
      <c r="E694" s="280"/>
    </row>
    <row r="695" ht="12.75">
      <c r="E695" s="280"/>
    </row>
    <row r="696" ht="12.75">
      <c r="E696" s="280"/>
    </row>
    <row r="697" ht="12.75">
      <c r="E697" s="280"/>
    </row>
    <row r="698" ht="12.75">
      <c r="E698" s="280"/>
    </row>
    <row r="699" ht="12.75">
      <c r="E699" s="280"/>
    </row>
    <row r="700" ht="12.75">
      <c r="E700" s="280"/>
    </row>
    <row r="701" ht="12.75">
      <c r="E701" s="280"/>
    </row>
    <row r="702" ht="12.75">
      <c r="E702" s="280"/>
    </row>
    <row r="703" ht="12.75">
      <c r="E703" s="280"/>
    </row>
    <row r="704" ht="12.75">
      <c r="E704" s="280"/>
    </row>
    <row r="705" ht="12.75">
      <c r="E705" s="280"/>
    </row>
    <row r="706" ht="12.75">
      <c r="E706" s="280"/>
    </row>
    <row r="707" ht="12.75">
      <c r="E707" s="280"/>
    </row>
    <row r="708" ht="12.75">
      <c r="E708" s="280"/>
    </row>
    <row r="709" ht="12.75">
      <c r="E709" s="280"/>
    </row>
    <row r="710" ht="12.75">
      <c r="E710" s="280"/>
    </row>
    <row r="711" ht="12.75">
      <c r="E711" s="280"/>
    </row>
    <row r="712" ht="12.75">
      <c r="E712" s="280"/>
    </row>
    <row r="713" ht="12.75">
      <c r="E713" s="280"/>
    </row>
    <row r="714" ht="12.75">
      <c r="E714" s="280"/>
    </row>
    <row r="715" ht="12.75">
      <c r="E715" s="280"/>
    </row>
    <row r="716" ht="12.75">
      <c r="E716" s="280"/>
    </row>
    <row r="717" ht="12.75">
      <c r="E717" s="280"/>
    </row>
    <row r="718" ht="12.75">
      <c r="E718" s="280"/>
    </row>
    <row r="719" ht="12.75">
      <c r="E719" s="280"/>
    </row>
    <row r="720" ht="12.75">
      <c r="E720" s="280"/>
    </row>
    <row r="721" ht="12.75">
      <c r="E721" s="280"/>
    </row>
    <row r="722" ht="12.75">
      <c r="E722" s="280"/>
    </row>
    <row r="723" ht="12.75">
      <c r="E723" s="280"/>
    </row>
    <row r="724" ht="12.75">
      <c r="E724" s="280"/>
    </row>
    <row r="725" ht="12.75">
      <c r="E725" s="280"/>
    </row>
    <row r="726" ht="12.75">
      <c r="E726" s="280"/>
    </row>
    <row r="727" ht="12.75">
      <c r="E727" s="280"/>
    </row>
    <row r="728" ht="12.75">
      <c r="E728" s="280"/>
    </row>
    <row r="729" ht="12.75">
      <c r="E729" s="280"/>
    </row>
    <row r="730" ht="12.75">
      <c r="E730" s="280"/>
    </row>
    <row r="731" ht="12.75">
      <c r="E731" s="280"/>
    </row>
    <row r="732" ht="12.75">
      <c r="E732" s="280"/>
    </row>
    <row r="733" ht="12.75">
      <c r="E733" s="280"/>
    </row>
    <row r="734" ht="12.75">
      <c r="E734" s="280"/>
    </row>
    <row r="735" ht="12.75">
      <c r="E735" s="280"/>
    </row>
    <row r="736" ht="12.75">
      <c r="E736" s="280"/>
    </row>
    <row r="737" ht="12.75">
      <c r="E737" s="280"/>
    </row>
    <row r="738" ht="12.75">
      <c r="E738" s="280"/>
    </row>
    <row r="739" ht="12.75">
      <c r="E739" s="280"/>
    </row>
    <row r="740" ht="12.75">
      <c r="E740" s="280"/>
    </row>
    <row r="741" ht="12.75">
      <c r="E741" s="280"/>
    </row>
    <row r="742" ht="12.75">
      <c r="E742" s="280"/>
    </row>
    <row r="743" ht="12.75">
      <c r="E743" s="280"/>
    </row>
    <row r="744" ht="12.75">
      <c r="E744" s="280"/>
    </row>
    <row r="745" ht="12.75">
      <c r="E745" s="280"/>
    </row>
    <row r="746" ht="12.75">
      <c r="E746" s="280"/>
    </row>
    <row r="747" ht="12.75">
      <c r="E747" s="280"/>
    </row>
    <row r="748" ht="12.75">
      <c r="E748" s="280"/>
    </row>
    <row r="749" ht="12.75">
      <c r="E749" s="280"/>
    </row>
    <row r="750" ht="12.75">
      <c r="E750" s="280"/>
    </row>
    <row r="751" ht="12.75">
      <c r="E751" s="280"/>
    </row>
    <row r="752" ht="12.75">
      <c r="E752" s="280"/>
    </row>
    <row r="753" ht="12.75">
      <c r="E753" s="280"/>
    </row>
    <row r="754" ht="12.75">
      <c r="E754" s="280"/>
    </row>
    <row r="755" ht="12.75">
      <c r="E755" s="280"/>
    </row>
    <row r="756" ht="12.75">
      <c r="E756" s="280"/>
    </row>
    <row r="757" ht="12.75">
      <c r="E757" s="280"/>
    </row>
    <row r="758" ht="12.75">
      <c r="E758" s="280"/>
    </row>
    <row r="759" ht="12.75">
      <c r="E759" s="280"/>
    </row>
    <row r="760" ht="12.75">
      <c r="E760" s="280"/>
    </row>
    <row r="761" ht="12.75">
      <c r="E761" s="280"/>
    </row>
    <row r="762" ht="12.75">
      <c r="E762" s="280"/>
    </row>
    <row r="763" ht="12.75">
      <c r="E763" s="280"/>
    </row>
    <row r="764" ht="12.75">
      <c r="E764" s="280"/>
    </row>
    <row r="765" ht="12.75">
      <c r="E765" s="280"/>
    </row>
    <row r="766" ht="12.75">
      <c r="E766" s="280"/>
    </row>
    <row r="767" ht="12.75">
      <c r="E767" s="280"/>
    </row>
    <row r="768" ht="12.75">
      <c r="E768" s="280"/>
    </row>
    <row r="769" ht="12.75">
      <c r="E769" s="280"/>
    </row>
    <row r="770" ht="12.75">
      <c r="E770" s="280"/>
    </row>
    <row r="771" ht="12.75">
      <c r="E771" s="280"/>
    </row>
    <row r="772" ht="12.75">
      <c r="E772" s="280"/>
    </row>
    <row r="773" ht="12.75">
      <c r="E773" s="280"/>
    </row>
    <row r="774" ht="12.75">
      <c r="E774" s="280"/>
    </row>
    <row r="775" ht="12.75">
      <c r="E775" s="280"/>
    </row>
    <row r="776" ht="12.75">
      <c r="E776" s="280"/>
    </row>
    <row r="777" ht="12.75">
      <c r="E777" s="280"/>
    </row>
    <row r="778" ht="12.75">
      <c r="E778" s="280"/>
    </row>
    <row r="779" ht="12.75">
      <c r="E779" s="280"/>
    </row>
    <row r="780" ht="12.75">
      <c r="E780" s="280"/>
    </row>
    <row r="781" ht="12.75">
      <c r="E781" s="280"/>
    </row>
    <row r="782" ht="12.75">
      <c r="E782" s="280"/>
    </row>
    <row r="783" ht="12.75">
      <c r="E783" s="280"/>
    </row>
    <row r="784" ht="12.75">
      <c r="E784" s="280"/>
    </row>
    <row r="785" ht="12.75">
      <c r="E785" s="280"/>
    </row>
    <row r="786" ht="12.75">
      <c r="E786" s="280"/>
    </row>
    <row r="787" ht="12.75">
      <c r="E787" s="280"/>
    </row>
    <row r="788" ht="12.75">
      <c r="E788" s="280"/>
    </row>
    <row r="789" ht="12.75">
      <c r="E789" s="280"/>
    </row>
    <row r="790" ht="12.75">
      <c r="E790" s="280"/>
    </row>
    <row r="791" ht="12.75">
      <c r="E791" s="280"/>
    </row>
    <row r="792" ht="12.75">
      <c r="E792" s="280"/>
    </row>
    <row r="793" ht="12.75">
      <c r="E793" s="280"/>
    </row>
    <row r="794" ht="12.75">
      <c r="E794" s="280"/>
    </row>
    <row r="795" ht="12.75">
      <c r="E795" s="280"/>
    </row>
    <row r="796" ht="12.75">
      <c r="E796" s="280"/>
    </row>
    <row r="797" ht="12.75">
      <c r="E797" s="280"/>
    </row>
    <row r="798" ht="12.75">
      <c r="E798" s="280"/>
    </row>
    <row r="799" ht="12.75">
      <c r="E799" s="280"/>
    </row>
    <row r="800" ht="12.75">
      <c r="E800" s="280"/>
    </row>
    <row r="801" ht="12.75">
      <c r="E801" s="280"/>
    </row>
    <row r="802" ht="12.75">
      <c r="E802" s="280"/>
    </row>
    <row r="803" ht="12.75">
      <c r="E803" s="280"/>
    </row>
    <row r="804" ht="12.75">
      <c r="E804" s="280"/>
    </row>
    <row r="805" ht="12.75">
      <c r="E805" s="280"/>
    </row>
    <row r="806" ht="12.75">
      <c r="E806" s="280"/>
    </row>
    <row r="807" ht="12.75">
      <c r="E807" s="280"/>
    </row>
    <row r="808" ht="12.75">
      <c r="E808" s="280"/>
    </row>
    <row r="809" ht="12.75">
      <c r="E809" s="280"/>
    </row>
    <row r="810" ht="12.75">
      <c r="E810" s="280"/>
    </row>
    <row r="811" ht="12.75">
      <c r="E811" s="280"/>
    </row>
    <row r="812" ht="12.75">
      <c r="E812" s="280"/>
    </row>
    <row r="813" ht="12.75">
      <c r="E813" s="280"/>
    </row>
    <row r="814" ht="12.75">
      <c r="E814" s="280"/>
    </row>
    <row r="815" ht="12.75">
      <c r="E815" s="280"/>
    </row>
    <row r="816" ht="12.75">
      <c r="E816" s="280"/>
    </row>
    <row r="817" ht="12.75">
      <c r="E817" s="280"/>
    </row>
    <row r="818" ht="12.75">
      <c r="E818" s="280"/>
    </row>
    <row r="819" ht="12.75">
      <c r="E819" s="280"/>
    </row>
    <row r="820" ht="12.75">
      <c r="E820" s="280"/>
    </row>
    <row r="821" ht="12.75">
      <c r="E821" s="280"/>
    </row>
    <row r="822" ht="12.75">
      <c r="E822" s="280"/>
    </row>
    <row r="823" ht="12.75">
      <c r="E823" s="280"/>
    </row>
    <row r="824" ht="12.75">
      <c r="E824" s="280"/>
    </row>
    <row r="825" ht="12.75">
      <c r="E825" s="280"/>
    </row>
    <row r="826" ht="12.75">
      <c r="E826" s="280"/>
    </row>
    <row r="827" ht="12.75">
      <c r="E827" s="280"/>
    </row>
    <row r="828" ht="12.75">
      <c r="E828" s="280"/>
    </row>
    <row r="829" ht="12.75">
      <c r="E829" s="280"/>
    </row>
    <row r="830" ht="12.75">
      <c r="E830" s="280"/>
    </row>
    <row r="831" ht="12.75">
      <c r="E831" s="280"/>
    </row>
    <row r="832" ht="12.75">
      <c r="E832" s="280"/>
    </row>
    <row r="833" ht="12.75">
      <c r="E833" s="280"/>
    </row>
    <row r="834" ht="12.75">
      <c r="E834" s="280"/>
    </row>
    <row r="835" ht="12.75">
      <c r="E835" s="280"/>
    </row>
    <row r="836" ht="12.75">
      <c r="E836" s="280"/>
    </row>
    <row r="837" ht="12.75">
      <c r="E837" s="280"/>
    </row>
    <row r="838" ht="12.75">
      <c r="E838" s="280"/>
    </row>
    <row r="839" ht="12.75">
      <c r="E839" s="280"/>
    </row>
    <row r="840" ht="12.75">
      <c r="E840" s="280"/>
    </row>
    <row r="841" ht="12.75">
      <c r="E841" s="280"/>
    </row>
    <row r="842" ht="12.75">
      <c r="E842" s="280"/>
    </row>
    <row r="843" ht="12.75">
      <c r="E843" s="280"/>
    </row>
    <row r="844" ht="12.75">
      <c r="E844" s="280"/>
    </row>
    <row r="845" ht="12.75">
      <c r="E845" s="280"/>
    </row>
    <row r="846" ht="12.75">
      <c r="E846" s="280"/>
    </row>
    <row r="847" ht="12.75">
      <c r="E847" s="280"/>
    </row>
    <row r="848" ht="12.75">
      <c r="E848" s="280"/>
    </row>
    <row r="849" ht="12.75">
      <c r="E849" s="280"/>
    </row>
    <row r="850" ht="12.75">
      <c r="E850" s="280"/>
    </row>
    <row r="851" ht="12.75">
      <c r="E851" s="280"/>
    </row>
    <row r="852" ht="12.75">
      <c r="E852" s="280"/>
    </row>
    <row r="853" ht="12.75">
      <c r="E853" s="280"/>
    </row>
    <row r="854" ht="12.75">
      <c r="E854" s="280"/>
    </row>
    <row r="855" ht="12.75">
      <c r="E855" s="280"/>
    </row>
    <row r="856" ht="12.75">
      <c r="E856" s="280"/>
    </row>
    <row r="857" ht="12.75">
      <c r="E857" s="280"/>
    </row>
    <row r="858" ht="12.75">
      <c r="E858" s="280"/>
    </row>
    <row r="859" ht="12.75">
      <c r="E859" s="280"/>
    </row>
    <row r="860" ht="12.75">
      <c r="E860" s="280"/>
    </row>
    <row r="861" ht="12.75">
      <c r="E861" s="280"/>
    </row>
    <row r="862" ht="12.75">
      <c r="E862" s="280"/>
    </row>
    <row r="863" ht="12.75">
      <c r="E863" s="280"/>
    </row>
    <row r="864" ht="12.75">
      <c r="E864" s="280"/>
    </row>
    <row r="865" ht="12.75">
      <c r="E865" s="280"/>
    </row>
    <row r="866" ht="12.75">
      <c r="E866" s="280"/>
    </row>
    <row r="867" ht="12.75">
      <c r="E867" s="280"/>
    </row>
    <row r="868" ht="12.75">
      <c r="E868" s="280"/>
    </row>
    <row r="869" ht="12.75">
      <c r="E869" s="280"/>
    </row>
    <row r="870" ht="12.75">
      <c r="E870" s="280"/>
    </row>
    <row r="871" ht="12.75">
      <c r="E871" s="280"/>
    </row>
    <row r="872" ht="12.75">
      <c r="E872" s="280"/>
    </row>
    <row r="873" ht="12.75">
      <c r="E873" s="280"/>
    </row>
    <row r="874" ht="12.75">
      <c r="E874" s="280"/>
    </row>
    <row r="875" ht="12.75">
      <c r="E875" s="280"/>
    </row>
    <row r="876" ht="12.75">
      <c r="E876" s="280"/>
    </row>
    <row r="877" ht="12.75">
      <c r="E877" s="280"/>
    </row>
    <row r="878" ht="12.75">
      <c r="E878" s="280"/>
    </row>
    <row r="879" ht="12.75">
      <c r="E879" s="280"/>
    </row>
    <row r="880" ht="12.75">
      <c r="E880" s="280"/>
    </row>
    <row r="881" ht="12.75">
      <c r="E881" s="280"/>
    </row>
    <row r="882" ht="12.75">
      <c r="E882" s="280"/>
    </row>
    <row r="883" ht="12.75">
      <c r="E883" s="280"/>
    </row>
    <row r="884" ht="12.75">
      <c r="E884" s="280"/>
    </row>
    <row r="885" ht="12.75">
      <c r="E885" s="280"/>
    </row>
    <row r="886" ht="12.75">
      <c r="E886" s="280"/>
    </row>
    <row r="887" ht="12.75">
      <c r="E887" s="280"/>
    </row>
    <row r="888" ht="12.75">
      <c r="E888" s="280"/>
    </row>
    <row r="889" ht="12.75">
      <c r="E889" s="280"/>
    </row>
    <row r="890" ht="12.75">
      <c r="E890" s="280"/>
    </row>
    <row r="891" ht="12.75">
      <c r="E891" s="280"/>
    </row>
    <row r="892" ht="12.75">
      <c r="E892" s="280"/>
    </row>
    <row r="893" ht="12.75">
      <c r="E893" s="280"/>
    </row>
    <row r="894" ht="12.75">
      <c r="E894" s="280"/>
    </row>
    <row r="895" ht="12.75">
      <c r="E895" s="280"/>
    </row>
    <row r="896" ht="12.75">
      <c r="E896" s="280"/>
    </row>
    <row r="897" ht="12.75">
      <c r="E897" s="280"/>
    </row>
    <row r="898" ht="12.75">
      <c r="E898" s="280"/>
    </row>
    <row r="899" ht="12.75">
      <c r="E899" s="280"/>
    </row>
    <row r="900" ht="12.75">
      <c r="E900" s="280"/>
    </row>
    <row r="901" ht="12.75">
      <c r="E901" s="280"/>
    </row>
    <row r="902" ht="12.75">
      <c r="E902" s="280"/>
    </row>
    <row r="903" ht="12.75">
      <c r="E903" s="280"/>
    </row>
    <row r="904" ht="12.75">
      <c r="E904" s="280"/>
    </row>
    <row r="905" ht="12.75">
      <c r="E905" s="280"/>
    </row>
    <row r="906" ht="12.75">
      <c r="E906" s="280"/>
    </row>
    <row r="907" ht="12.75">
      <c r="E907" s="280"/>
    </row>
    <row r="908" ht="12.75">
      <c r="E908" s="280"/>
    </row>
    <row r="909" ht="12.75">
      <c r="E909" s="280"/>
    </row>
    <row r="910" ht="12.75">
      <c r="E910" s="280"/>
    </row>
    <row r="911" ht="12.75">
      <c r="E911" s="280"/>
    </row>
    <row r="912" ht="12.75">
      <c r="E912" s="280"/>
    </row>
    <row r="913" ht="12.75">
      <c r="E913" s="280"/>
    </row>
    <row r="914" ht="12.75">
      <c r="E914" s="280"/>
    </row>
    <row r="915" ht="12.75">
      <c r="E915" s="280"/>
    </row>
    <row r="916" ht="12.75">
      <c r="E916" s="280"/>
    </row>
    <row r="917" ht="12.75">
      <c r="E917" s="280"/>
    </row>
    <row r="918" ht="12.75">
      <c r="E918" s="280"/>
    </row>
    <row r="919" ht="12.75">
      <c r="E919" s="280"/>
    </row>
    <row r="920" ht="12.75">
      <c r="E920" s="280"/>
    </row>
    <row r="921" ht="12.75">
      <c r="E921" s="280"/>
    </row>
    <row r="922" ht="12.75">
      <c r="E922" s="280"/>
    </row>
    <row r="923" ht="12.75">
      <c r="E923" s="280"/>
    </row>
    <row r="924" ht="12.75">
      <c r="E924" s="280"/>
    </row>
    <row r="925" ht="12.75">
      <c r="E925" s="280"/>
    </row>
    <row r="926" ht="12.75">
      <c r="E926" s="280"/>
    </row>
    <row r="927" ht="12.75">
      <c r="E927" s="280"/>
    </row>
    <row r="928" ht="12.75">
      <c r="E928" s="280"/>
    </row>
    <row r="929" ht="12.75">
      <c r="E929" s="280"/>
    </row>
    <row r="930" ht="12.75">
      <c r="E930" s="280"/>
    </row>
    <row r="931" ht="12.75">
      <c r="E931" s="280"/>
    </row>
    <row r="932" ht="12.75">
      <c r="E932" s="280"/>
    </row>
    <row r="933" ht="12.75">
      <c r="E933" s="280"/>
    </row>
    <row r="934" ht="12.75">
      <c r="E934" s="280"/>
    </row>
    <row r="935" ht="12.75">
      <c r="E935" s="280"/>
    </row>
    <row r="936" ht="12.75">
      <c r="E936" s="280"/>
    </row>
    <row r="937" ht="12.75">
      <c r="E937" s="280"/>
    </row>
    <row r="938" ht="12.75">
      <c r="E938" s="280"/>
    </row>
    <row r="939" ht="12.75">
      <c r="E939" s="280"/>
    </row>
    <row r="940" ht="12.75">
      <c r="E940" s="280"/>
    </row>
    <row r="941" ht="12.75">
      <c r="E941" s="280"/>
    </row>
    <row r="942" ht="12.75">
      <c r="E942" s="280"/>
    </row>
    <row r="943" ht="12.75">
      <c r="E943" s="280"/>
    </row>
    <row r="944" ht="12.75">
      <c r="E944" s="280"/>
    </row>
    <row r="945" ht="12.75">
      <c r="E945" s="280"/>
    </row>
    <row r="946" ht="12.75">
      <c r="E946" s="280"/>
    </row>
    <row r="947" ht="12.75">
      <c r="E947" s="280"/>
    </row>
    <row r="948" ht="12.75">
      <c r="E948" s="280"/>
    </row>
    <row r="949" ht="12.75">
      <c r="E949" s="280"/>
    </row>
    <row r="950" ht="12.75">
      <c r="E950" s="280"/>
    </row>
    <row r="951" ht="12.75">
      <c r="E951" s="280"/>
    </row>
    <row r="952" ht="12.75">
      <c r="E952" s="280"/>
    </row>
    <row r="953" ht="12.75">
      <c r="E953" s="280"/>
    </row>
    <row r="954" ht="12.75">
      <c r="E954" s="280"/>
    </row>
    <row r="955" ht="12.75">
      <c r="E955" s="280"/>
    </row>
    <row r="956" ht="12.75">
      <c r="E956" s="280"/>
    </row>
    <row r="957" ht="12.75">
      <c r="E957" s="280"/>
    </row>
    <row r="958" ht="12.75">
      <c r="E958" s="280"/>
    </row>
    <row r="959" ht="12.75">
      <c r="E959" s="280"/>
    </row>
    <row r="960" ht="12.75">
      <c r="E960" s="280"/>
    </row>
    <row r="961" ht="12.75">
      <c r="E961" s="280"/>
    </row>
    <row r="962" ht="12.75">
      <c r="E962" s="280"/>
    </row>
    <row r="963" ht="12.75">
      <c r="E963" s="280"/>
    </row>
    <row r="964" ht="12.75">
      <c r="E964" s="280"/>
    </row>
    <row r="965" ht="12.75">
      <c r="E965" s="280"/>
    </row>
    <row r="966" ht="12.75">
      <c r="E966" s="280"/>
    </row>
    <row r="967" ht="12.75">
      <c r="E967" s="280"/>
    </row>
    <row r="968" ht="12.75">
      <c r="E968" s="280"/>
    </row>
    <row r="969" ht="12.75">
      <c r="E969" s="280"/>
    </row>
    <row r="970" ht="12.75">
      <c r="E970" s="280"/>
    </row>
    <row r="971" ht="12.75">
      <c r="E971" s="280"/>
    </row>
    <row r="972" ht="12.75">
      <c r="E972" s="280"/>
    </row>
    <row r="973" ht="12.75">
      <c r="E973" s="280"/>
    </row>
    <row r="974" ht="12.75">
      <c r="E974" s="280"/>
    </row>
    <row r="975" ht="12.75">
      <c r="E975" s="280"/>
    </row>
    <row r="976" ht="12.75">
      <c r="E976" s="280"/>
    </row>
    <row r="977" ht="12.75">
      <c r="E977" s="280"/>
    </row>
    <row r="978" ht="12.75">
      <c r="E978" s="280"/>
    </row>
    <row r="979" ht="12.75">
      <c r="E979" s="280"/>
    </row>
    <row r="980" ht="12.75">
      <c r="E980" s="280"/>
    </row>
    <row r="981" ht="12.75">
      <c r="E981" s="280"/>
    </row>
    <row r="982" ht="12.75">
      <c r="E982" s="280"/>
    </row>
    <row r="983" ht="12.75">
      <c r="E983" s="280"/>
    </row>
    <row r="984" ht="12.75">
      <c r="E984" s="280"/>
    </row>
    <row r="985" ht="12.75">
      <c r="E985" s="280"/>
    </row>
    <row r="986" ht="12.75">
      <c r="E986" s="280"/>
    </row>
    <row r="987" ht="12.75">
      <c r="E987" s="280"/>
    </row>
    <row r="988" ht="12.75">
      <c r="E988" s="280"/>
    </row>
    <row r="989" ht="12.75">
      <c r="E989" s="280"/>
    </row>
    <row r="990" ht="12.75">
      <c r="E990" s="280"/>
    </row>
    <row r="991" ht="12.75">
      <c r="E991" s="280"/>
    </row>
    <row r="992" ht="12.75">
      <c r="E992" s="280"/>
    </row>
    <row r="993" ht="12.75">
      <c r="E993" s="280"/>
    </row>
    <row r="994" ht="12.75">
      <c r="E994" s="280"/>
    </row>
    <row r="995" ht="12.75">
      <c r="E995" s="280"/>
    </row>
    <row r="996" ht="12.75">
      <c r="E996" s="280"/>
    </row>
    <row r="997" ht="12.75">
      <c r="E997" s="280"/>
    </row>
    <row r="998" ht="12.75">
      <c r="E998" s="280"/>
    </row>
    <row r="999" ht="12.75">
      <c r="E999" s="280"/>
    </row>
    <row r="1000" ht="12.75">
      <c r="E1000" s="280"/>
    </row>
    <row r="1001" ht="12.75">
      <c r="E1001" s="280"/>
    </row>
    <row r="1002" ht="12.75">
      <c r="E1002" s="280"/>
    </row>
    <row r="1003" ht="12.75">
      <c r="E1003" s="280"/>
    </row>
    <row r="1004" ht="12.75">
      <c r="E1004" s="280"/>
    </row>
    <row r="1005" ht="12.75">
      <c r="E1005" s="280"/>
    </row>
    <row r="1006" ht="12.75">
      <c r="E1006" s="280"/>
    </row>
    <row r="1007" ht="12.75">
      <c r="E1007" s="280"/>
    </row>
    <row r="1008" ht="12.75">
      <c r="E1008" s="280"/>
    </row>
    <row r="1009" ht="12.75">
      <c r="E1009" s="280"/>
    </row>
    <row r="1010" ht="12.75">
      <c r="E1010" s="280"/>
    </row>
    <row r="1011" ht="12.75">
      <c r="E1011" s="280"/>
    </row>
    <row r="1012" ht="12.75">
      <c r="E1012" s="280"/>
    </row>
    <row r="1013" ht="12.75">
      <c r="E1013" s="280"/>
    </row>
    <row r="1014" ht="12.75">
      <c r="E1014" s="280"/>
    </row>
    <row r="1015" ht="12.75">
      <c r="E1015" s="280"/>
    </row>
    <row r="1016" ht="12.75">
      <c r="E1016" s="280"/>
    </row>
    <row r="1017" ht="12.75">
      <c r="E1017" s="280"/>
    </row>
    <row r="1018" ht="12.75">
      <c r="E1018" s="280"/>
    </row>
    <row r="1019" ht="12.75">
      <c r="E1019" s="280"/>
    </row>
    <row r="1020" ht="12.75">
      <c r="E1020" s="280"/>
    </row>
    <row r="1021" ht="12.75">
      <c r="E1021" s="280"/>
    </row>
    <row r="1022" ht="12.75">
      <c r="E1022" s="280"/>
    </row>
    <row r="1023" ht="12.75">
      <c r="E1023" s="280"/>
    </row>
    <row r="1024" ht="12.75">
      <c r="E1024" s="280"/>
    </row>
    <row r="1025" ht="12.75">
      <c r="E1025" s="280"/>
    </row>
    <row r="1026" ht="12.75">
      <c r="E1026" s="280"/>
    </row>
    <row r="1027" ht="12.75">
      <c r="E1027" s="280"/>
    </row>
    <row r="1028" ht="12.75">
      <c r="E1028" s="280"/>
    </row>
    <row r="1029" ht="12.75">
      <c r="E1029" s="280"/>
    </row>
    <row r="1030" ht="12.75">
      <c r="E1030" s="280"/>
    </row>
    <row r="1031" ht="12.75">
      <c r="E1031" s="280"/>
    </row>
    <row r="1032" ht="12.75">
      <c r="E1032" s="280"/>
    </row>
    <row r="1033" ht="12.75">
      <c r="E1033" s="280"/>
    </row>
    <row r="1034" ht="12.75">
      <c r="E1034" s="280"/>
    </row>
    <row r="1035" ht="12.75">
      <c r="E1035" s="280"/>
    </row>
    <row r="1036" ht="12.75">
      <c r="E1036" s="280"/>
    </row>
    <row r="1037" ht="12.75">
      <c r="E1037" s="280"/>
    </row>
    <row r="1038" ht="12.75">
      <c r="E1038" s="280"/>
    </row>
    <row r="1039" ht="12.75">
      <c r="E1039" s="280"/>
    </row>
    <row r="1040" ht="12.75">
      <c r="E1040" s="280"/>
    </row>
    <row r="1041" ht="12.75">
      <c r="E1041" s="280"/>
    </row>
    <row r="1042" ht="12.75">
      <c r="E1042" s="280"/>
    </row>
    <row r="1043" ht="12.75">
      <c r="E1043" s="280"/>
    </row>
    <row r="1044" ht="12.75">
      <c r="E1044" s="280"/>
    </row>
    <row r="1045" ht="12.75">
      <c r="E1045" s="280"/>
    </row>
    <row r="1046" ht="12.75">
      <c r="E1046" s="280"/>
    </row>
    <row r="1047" ht="12.75">
      <c r="E1047" s="280"/>
    </row>
    <row r="1048" ht="12.75">
      <c r="E1048" s="280"/>
    </row>
    <row r="1049" ht="12.75">
      <c r="E1049" s="280"/>
    </row>
    <row r="1050" ht="12.75">
      <c r="E1050" s="280"/>
    </row>
    <row r="1051" ht="12.75">
      <c r="E1051" s="280"/>
    </row>
    <row r="1052" ht="12.75">
      <c r="E1052" s="280"/>
    </row>
    <row r="1053" ht="12.75">
      <c r="E1053" s="280"/>
    </row>
    <row r="1054" ht="12.75">
      <c r="E1054" s="280"/>
    </row>
    <row r="1055" ht="12.75">
      <c r="E1055" s="280"/>
    </row>
    <row r="1056" ht="12.75">
      <c r="E1056" s="280"/>
    </row>
    <row r="1057" ht="12.75">
      <c r="E1057" s="280"/>
    </row>
    <row r="1058" ht="12.75">
      <c r="E1058" s="280"/>
    </row>
    <row r="1059" ht="12.75">
      <c r="E1059" s="280"/>
    </row>
    <row r="1060" ht="12.75">
      <c r="E1060" s="280"/>
    </row>
    <row r="1061" ht="12.75">
      <c r="E1061" s="280"/>
    </row>
    <row r="1062" ht="12.75">
      <c r="E1062" s="280"/>
    </row>
    <row r="1063" ht="12.75">
      <c r="E1063" s="280"/>
    </row>
    <row r="1064" ht="12.75">
      <c r="E1064" s="280"/>
    </row>
    <row r="1065" ht="12.75">
      <c r="E1065" s="280"/>
    </row>
    <row r="1066" ht="12.75">
      <c r="E1066" s="280"/>
    </row>
    <row r="1067" ht="12.75">
      <c r="E1067" s="280"/>
    </row>
    <row r="1068" ht="12.75">
      <c r="E1068" s="280"/>
    </row>
    <row r="1069" ht="12.75">
      <c r="E1069" s="280"/>
    </row>
    <row r="1070" ht="12.75">
      <c r="E1070" s="280"/>
    </row>
    <row r="1071" ht="12.75">
      <c r="E1071" s="280"/>
    </row>
    <row r="1072" ht="12.75">
      <c r="E1072" s="280"/>
    </row>
    <row r="1073" ht="12.75">
      <c r="E1073" s="280"/>
    </row>
    <row r="1074" ht="12.75">
      <c r="E1074" s="280"/>
    </row>
    <row r="1075" ht="12.75">
      <c r="E1075" s="280"/>
    </row>
    <row r="1076" ht="12.75">
      <c r="E1076" s="280"/>
    </row>
    <row r="1077" ht="12.75">
      <c r="E1077" s="280"/>
    </row>
    <row r="1078" ht="12.75">
      <c r="E1078" s="280"/>
    </row>
    <row r="1079" ht="12.75">
      <c r="E1079" s="280"/>
    </row>
    <row r="1080" ht="12.75">
      <c r="E1080" s="280"/>
    </row>
    <row r="1081" ht="12.75">
      <c r="E1081" s="280"/>
    </row>
    <row r="1082" ht="12.75">
      <c r="E1082" s="280"/>
    </row>
    <row r="1083" ht="12.75">
      <c r="E1083" s="280"/>
    </row>
    <row r="1084" ht="12.75">
      <c r="E1084" s="280"/>
    </row>
    <row r="1085" ht="12.75">
      <c r="E1085" s="280"/>
    </row>
    <row r="1086" ht="12.75">
      <c r="E1086" s="280"/>
    </row>
    <row r="1087" ht="12.75">
      <c r="E1087" s="280"/>
    </row>
    <row r="1088" ht="12.75">
      <c r="E1088" s="280"/>
    </row>
    <row r="1089" ht="12.75">
      <c r="E1089" s="280"/>
    </row>
    <row r="1090" ht="12.75">
      <c r="E1090" s="280"/>
    </row>
    <row r="1091" ht="12.75">
      <c r="E1091" s="280"/>
    </row>
    <row r="1092" ht="12.75">
      <c r="E1092" s="280"/>
    </row>
    <row r="1093" ht="12.75">
      <c r="E1093" s="280"/>
    </row>
    <row r="1094" ht="12.75">
      <c r="E1094" s="280"/>
    </row>
    <row r="1095" ht="12.75">
      <c r="E1095" s="280"/>
    </row>
    <row r="1096" ht="12.75">
      <c r="E1096" s="280"/>
    </row>
    <row r="1097" ht="12.75">
      <c r="E1097" s="280"/>
    </row>
    <row r="1098" ht="12.75">
      <c r="E1098" s="280"/>
    </row>
    <row r="1099" ht="12.75">
      <c r="E1099" s="280"/>
    </row>
    <row r="1100" ht="12.75">
      <c r="E1100" s="280"/>
    </row>
    <row r="1101" ht="12.75">
      <c r="E1101" s="280"/>
    </row>
    <row r="1102" ht="12.75">
      <c r="E1102" s="280"/>
    </row>
    <row r="1103" ht="12.75">
      <c r="E1103" s="280"/>
    </row>
    <row r="1104" ht="12.75">
      <c r="E1104" s="280"/>
    </row>
    <row r="1105" ht="12.75">
      <c r="E1105" s="280"/>
    </row>
    <row r="1106" ht="12.75">
      <c r="E1106" s="280"/>
    </row>
    <row r="1107" ht="12.75">
      <c r="E1107" s="280"/>
    </row>
    <row r="1108" ht="12.75">
      <c r="E1108" s="280"/>
    </row>
    <row r="1109" ht="12.75">
      <c r="E1109" s="280"/>
    </row>
    <row r="1110" ht="12.75">
      <c r="E1110" s="280"/>
    </row>
    <row r="1111" ht="12.75">
      <c r="E1111" s="280"/>
    </row>
    <row r="1112" ht="12.75">
      <c r="E1112" s="280"/>
    </row>
    <row r="1113" ht="12.75">
      <c r="E1113" s="280"/>
    </row>
    <row r="1114" ht="12.75">
      <c r="E1114" s="280"/>
    </row>
    <row r="1115" ht="12.75">
      <c r="E1115" s="280"/>
    </row>
    <row r="1116" ht="12.75">
      <c r="E1116" s="280"/>
    </row>
    <row r="1117" ht="12.75">
      <c r="E1117" s="280"/>
    </row>
    <row r="1118" ht="12.75">
      <c r="E1118" s="280"/>
    </row>
    <row r="1119" ht="12.75">
      <c r="E1119" s="280"/>
    </row>
    <row r="1120" ht="12.75">
      <c r="E1120" s="280"/>
    </row>
    <row r="1121" ht="12.75">
      <c r="E1121" s="280"/>
    </row>
    <row r="1122" ht="12.75">
      <c r="E1122" s="280"/>
    </row>
    <row r="1123" ht="12.75">
      <c r="E1123" s="280"/>
    </row>
    <row r="1124" ht="12.75">
      <c r="E1124" s="280"/>
    </row>
    <row r="1125" ht="12.75">
      <c r="E1125" s="280"/>
    </row>
    <row r="1126" ht="12.75">
      <c r="E1126" s="280"/>
    </row>
    <row r="1127" ht="12.75">
      <c r="E1127" s="280"/>
    </row>
    <row r="1128" ht="12.75">
      <c r="E1128" s="280"/>
    </row>
    <row r="1129" ht="12.75">
      <c r="E1129" s="280"/>
    </row>
    <row r="1130" ht="12.75">
      <c r="E1130" s="280"/>
    </row>
    <row r="1131" ht="12.75">
      <c r="E1131" s="280"/>
    </row>
    <row r="1132" ht="12.75">
      <c r="E1132" s="280"/>
    </row>
    <row r="1133" ht="12.75">
      <c r="E1133" s="280"/>
    </row>
    <row r="1134" ht="12.75">
      <c r="E1134" s="280"/>
    </row>
    <row r="1135" ht="12.75">
      <c r="E1135" s="280"/>
    </row>
    <row r="1136" ht="12.75">
      <c r="E1136" s="280"/>
    </row>
    <row r="1137" ht="12.75">
      <c r="E1137" s="280"/>
    </row>
    <row r="1138" ht="12.75">
      <c r="E1138" s="280"/>
    </row>
    <row r="1139" ht="12.75">
      <c r="E1139" s="280"/>
    </row>
    <row r="1140" ht="12.75">
      <c r="E1140" s="280"/>
    </row>
    <row r="1141" ht="12.75">
      <c r="E1141" s="280"/>
    </row>
    <row r="1142" ht="12.75">
      <c r="E1142" s="280"/>
    </row>
    <row r="1143" ht="12.75">
      <c r="E1143" s="280"/>
    </row>
    <row r="1144" ht="12.75">
      <c r="E1144" s="280"/>
    </row>
    <row r="1145" ht="12.75">
      <c r="E1145" s="280"/>
    </row>
    <row r="1146" ht="12.75">
      <c r="E1146" s="280"/>
    </row>
    <row r="1147" ht="12.75">
      <c r="E1147" s="280"/>
    </row>
    <row r="1148" ht="12.75">
      <c r="E1148" s="280"/>
    </row>
    <row r="1149" ht="12.75">
      <c r="E1149" s="280"/>
    </row>
    <row r="1150" ht="12.75">
      <c r="E1150" s="280"/>
    </row>
    <row r="1151" ht="12.75">
      <c r="E1151" s="280"/>
    </row>
    <row r="1152" ht="12.75">
      <c r="E1152" s="280"/>
    </row>
    <row r="1153" ht="12.75">
      <c r="E1153" s="280"/>
    </row>
    <row r="1154" ht="12.75">
      <c r="E1154" s="280"/>
    </row>
    <row r="1155" ht="12.75">
      <c r="E1155" s="280"/>
    </row>
    <row r="1156" ht="12.75">
      <c r="E1156" s="280"/>
    </row>
    <row r="1157" ht="12.75">
      <c r="E1157" s="280"/>
    </row>
    <row r="1158" ht="12.75">
      <c r="E1158" s="280"/>
    </row>
    <row r="1159" ht="12.75">
      <c r="E1159" s="280"/>
    </row>
    <row r="1160" ht="12.75">
      <c r="E1160" s="280"/>
    </row>
    <row r="1161" ht="12.75">
      <c r="E1161" s="280"/>
    </row>
    <row r="1162" ht="12.75">
      <c r="E1162" s="280"/>
    </row>
    <row r="1163" ht="12.75">
      <c r="E1163" s="280"/>
    </row>
    <row r="1164" ht="12.75">
      <c r="E1164" s="280"/>
    </row>
    <row r="1165" ht="12.75">
      <c r="E1165" s="280"/>
    </row>
    <row r="1166" ht="12.75">
      <c r="E1166" s="280"/>
    </row>
    <row r="1167" ht="12.75">
      <c r="E1167" s="280"/>
    </row>
    <row r="1168" ht="12.75">
      <c r="E1168" s="280"/>
    </row>
    <row r="1169" ht="12.75">
      <c r="E1169" s="280"/>
    </row>
    <row r="1170" ht="12.75">
      <c r="E1170" s="280"/>
    </row>
    <row r="1171" ht="12.75">
      <c r="E1171" s="280"/>
    </row>
    <row r="1172" ht="12.75">
      <c r="E1172" s="280"/>
    </row>
    <row r="1173" ht="12.75">
      <c r="E1173" s="280"/>
    </row>
    <row r="1174" ht="12.75">
      <c r="E1174" s="280"/>
    </row>
    <row r="1175" ht="12.75">
      <c r="E1175" s="280"/>
    </row>
    <row r="1176" ht="12.75">
      <c r="E1176" s="280"/>
    </row>
    <row r="1177" ht="12.75">
      <c r="E1177" s="280"/>
    </row>
    <row r="1178" ht="12.75">
      <c r="E1178" s="280"/>
    </row>
    <row r="1179" ht="12.75">
      <c r="E1179" s="280"/>
    </row>
    <row r="1180" ht="12.75">
      <c r="E1180" s="280"/>
    </row>
    <row r="1181" ht="12.75">
      <c r="E1181" s="280"/>
    </row>
    <row r="1182" ht="12.75">
      <c r="E1182" s="280"/>
    </row>
    <row r="1183" ht="12.75">
      <c r="E1183" s="280"/>
    </row>
    <row r="1184" ht="12.75">
      <c r="E1184" s="280"/>
    </row>
    <row r="1185" ht="12.75">
      <c r="E1185" s="280"/>
    </row>
    <row r="1186" ht="12.75">
      <c r="E1186" s="280"/>
    </row>
    <row r="1187" ht="12.75">
      <c r="E1187" s="280"/>
    </row>
    <row r="1188" ht="12.75">
      <c r="E1188" s="280"/>
    </row>
    <row r="1189" ht="12.75">
      <c r="E1189" s="280"/>
    </row>
    <row r="1190" ht="12.75">
      <c r="E1190" s="280"/>
    </row>
    <row r="1191" ht="12.75">
      <c r="E1191" s="280"/>
    </row>
    <row r="1192" ht="12.75">
      <c r="E1192" s="280"/>
    </row>
    <row r="1193" ht="12.75">
      <c r="E1193" s="280"/>
    </row>
    <row r="1194" ht="12.75">
      <c r="E1194" s="280"/>
    </row>
    <row r="1195" ht="12.75">
      <c r="E1195" s="280"/>
    </row>
    <row r="1196" ht="12.75">
      <c r="E1196" s="280"/>
    </row>
    <row r="1197" ht="12.75">
      <c r="E1197" s="280"/>
    </row>
    <row r="1198" ht="12.75">
      <c r="E1198" s="280"/>
    </row>
    <row r="1199" ht="12.75">
      <c r="E1199" s="280"/>
    </row>
    <row r="1200" ht="12.75">
      <c r="E1200" s="280"/>
    </row>
    <row r="1201" ht="12.75">
      <c r="E1201" s="280"/>
    </row>
    <row r="1202" ht="12.75">
      <c r="E1202" s="280"/>
    </row>
    <row r="1203" ht="12.75">
      <c r="E1203" s="280"/>
    </row>
    <row r="1204" ht="12.75">
      <c r="E1204" s="280"/>
    </row>
    <row r="1205" ht="12.75">
      <c r="E1205" s="280"/>
    </row>
    <row r="1206" ht="12.75">
      <c r="E1206" s="280"/>
    </row>
    <row r="1207" ht="12.75">
      <c r="E1207" s="280"/>
    </row>
    <row r="1208" ht="12.75">
      <c r="E1208" s="280"/>
    </row>
    <row r="1209" ht="12.75">
      <c r="E1209" s="280"/>
    </row>
    <row r="1210" ht="12.75">
      <c r="E1210" s="280"/>
    </row>
    <row r="1211" ht="12.75">
      <c r="E1211" s="280"/>
    </row>
    <row r="1212" ht="12.75">
      <c r="E1212" s="280"/>
    </row>
    <row r="1213" ht="12.75">
      <c r="E1213" s="280"/>
    </row>
    <row r="1214" ht="12.75">
      <c r="E1214" s="280"/>
    </row>
    <row r="1215" ht="12.75">
      <c r="E1215" s="280"/>
    </row>
    <row r="1216" ht="12.75">
      <c r="E1216" s="280"/>
    </row>
    <row r="1217" ht="12.75">
      <c r="E1217" s="280"/>
    </row>
    <row r="1218" ht="12.75">
      <c r="E1218" s="280"/>
    </row>
    <row r="1219" ht="12.75">
      <c r="E1219" s="280"/>
    </row>
    <row r="1220" ht="12.75">
      <c r="E1220" s="280"/>
    </row>
    <row r="1221" ht="12.75">
      <c r="E1221" s="280"/>
    </row>
    <row r="1222" ht="12.75">
      <c r="E1222" s="280"/>
    </row>
    <row r="1223" ht="12.75">
      <c r="E1223" s="280"/>
    </row>
    <row r="1224" ht="12.75">
      <c r="E1224" s="280"/>
    </row>
    <row r="1225" ht="12.75">
      <c r="E1225" s="280"/>
    </row>
    <row r="1226" ht="12.75">
      <c r="E1226" s="280"/>
    </row>
    <row r="1227" ht="12.75">
      <c r="E1227" s="280"/>
    </row>
    <row r="1228" ht="12.75">
      <c r="E1228" s="280"/>
    </row>
    <row r="1229" ht="12.75">
      <c r="E1229" s="280"/>
    </row>
    <row r="1230" ht="12.75">
      <c r="E1230" s="280"/>
    </row>
    <row r="1231" ht="12.75">
      <c r="E1231" s="280"/>
    </row>
    <row r="1232" ht="12.75">
      <c r="E1232" s="280"/>
    </row>
    <row r="1233" ht="12.75">
      <c r="E1233" s="280"/>
    </row>
    <row r="1234" ht="12.75">
      <c r="E1234" s="280"/>
    </row>
    <row r="1235" ht="12.75">
      <c r="E1235" s="280"/>
    </row>
    <row r="1236" ht="12.75">
      <c r="E1236" s="280"/>
    </row>
    <row r="1237" ht="12.75">
      <c r="E1237" s="280"/>
    </row>
    <row r="1238" ht="12.75">
      <c r="E1238" s="280"/>
    </row>
    <row r="1239" ht="12.75">
      <c r="E1239" s="280"/>
    </row>
    <row r="1240" ht="12.75">
      <c r="E1240" s="280"/>
    </row>
    <row r="1241" ht="12.75">
      <c r="E1241" s="280"/>
    </row>
    <row r="1242" ht="12.75">
      <c r="E1242" s="280"/>
    </row>
    <row r="1243" ht="12.75">
      <c r="E1243" s="280"/>
    </row>
    <row r="1244" ht="12.75">
      <c r="E1244" s="280"/>
    </row>
    <row r="1245" ht="12.75">
      <c r="E1245" s="280"/>
    </row>
    <row r="1246" ht="12.75">
      <c r="E1246" s="280"/>
    </row>
    <row r="1247" ht="12.75">
      <c r="E1247" s="280"/>
    </row>
    <row r="1248" ht="12.75">
      <c r="E1248" s="280"/>
    </row>
    <row r="1249" ht="12.75">
      <c r="E1249" s="280"/>
    </row>
    <row r="1250" ht="12.75">
      <c r="E1250" s="280"/>
    </row>
    <row r="1251" ht="12.75">
      <c r="E1251" s="280"/>
    </row>
    <row r="1252" ht="12.75">
      <c r="E1252" s="280"/>
    </row>
    <row r="1253" ht="12.75">
      <c r="E1253" s="280"/>
    </row>
    <row r="1254" ht="12.75">
      <c r="E1254" s="280"/>
    </row>
    <row r="1255" ht="12.75">
      <c r="E1255" s="280"/>
    </row>
    <row r="1256" ht="12.75">
      <c r="E1256" s="280"/>
    </row>
    <row r="1257" ht="12.75">
      <c r="E1257" s="280"/>
    </row>
    <row r="1258" ht="12.75">
      <c r="E1258" s="280"/>
    </row>
    <row r="1259" ht="12.75">
      <c r="E1259" s="280"/>
    </row>
    <row r="1260" ht="12.75">
      <c r="E1260" s="280"/>
    </row>
    <row r="1261" ht="12.75">
      <c r="E1261" s="280"/>
    </row>
    <row r="1262" ht="12.75">
      <c r="E1262" s="280"/>
    </row>
    <row r="1263" ht="12.75">
      <c r="E1263" s="280"/>
    </row>
    <row r="1264" ht="12.75">
      <c r="E1264" s="280"/>
    </row>
    <row r="1265" ht="12.75">
      <c r="E1265" s="280"/>
    </row>
    <row r="1266" ht="12.75">
      <c r="E1266" s="280"/>
    </row>
    <row r="1267" ht="12.75">
      <c r="E1267" s="280"/>
    </row>
    <row r="1268" ht="12.75">
      <c r="E1268" s="280"/>
    </row>
    <row r="1269" ht="12.75">
      <c r="E1269" s="280"/>
    </row>
    <row r="1270" ht="12.75">
      <c r="E1270" s="280"/>
    </row>
    <row r="1271" ht="12.75">
      <c r="E1271" s="280"/>
    </row>
    <row r="1272" ht="12.75">
      <c r="E1272" s="280"/>
    </row>
    <row r="1273" ht="12.75">
      <c r="E1273" s="280"/>
    </row>
    <row r="1274" ht="12.75">
      <c r="E1274" s="280"/>
    </row>
    <row r="1275" ht="12.75">
      <c r="E1275" s="280"/>
    </row>
    <row r="1276" ht="12.75">
      <c r="E1276" s="280"/>
    </row>
    <row r="1277" ht="12.75">
      <c r="E1277" s="280"/>
    </row>
    <row r="1278" ht="12.75">
      <c r="E1278" s="280"/>
    </row>
    <row r="1279" ht="12.75">
      <c r="E1279" s="280"/>
    </row>
    <row r="1280" ht="12.75">
      <c r="E1280" s="280"/>
    </row>
    <row r="1281" ht="12.75">
      <c r="E1281" s="280"/>
    </row>
    <row r="1282" ht="12.75">
      <c r="E1282" s="280"/>
    </row>
    <row r="1283" ht="12.75">
      <c r="E1283" s="280"/>
    </row>
    <row r="1284" ht="12.75">
      <c r="E1284" s="280"/>
    </row>
    <row r="1285" ht="12.75">
      <c r="E1285" s="280"/>
    </row>
    <row r="1286" ht="12.75">
      <c r="E1286" s="280"/>
    </row>
    <row r="1287" ht="12.75">
      <c r="E1287" s="280"/>
    </row>
    <row r="1288" ht="12.75">
      <c r="E1288" s="280"/>
    </row>
    <row r="1289" ht="12.75">
      <c r="E1289" s="280"/>
    </row>
    <row r="1290" ht="12.75">
      <c r="E1290" s="280"/>
    </row>
    <row r="1291" ht="12.75">
      <c r="E1291" s="280"/>
    </row>
    <row r="1292" ht="12.75">
      <c r="E1292" s="280"/>
    </row>
    <row r="1293" ht="12.75">
      <c r="E1293" s="280"/>
    </row>
    <row r="1294" ht="12.75">
      <c r="E1294" s="280"/>
    </row>
    <row r="1295" ht="12.75">
      <c r="E1295" s="280"/>
    </row>
    <row r="1296" ht="12.75">
      <c r="E1296" s="280"/>
    </row>
    <row r="1297" ht="12.75">
      <c r="E1297" s="280"/>
    </row>
    <row r="1298" ht="12.75">
      <c r="E1298" s="280"/>
    </row>
    <row r="1299" ht="12.75">
      <c r="E1299" s="280"/>
    </row>
    <row r="1300" ht="12.75">
      <c r="E1300" s="280"/>
    </row>
    <row r="1301" ht="12.75">
      <c r="E1301" s="280"/>
    </row>
    <row r="1302" ht="12.75">
      <c r="E1302" s="280"/>
    </row>
    <row r="1303" ht="12.75">
      <c r="E1303" s="280"/>
    </row>
    <row r="1304" ht="12.75">
      <c r="E1304" s="280"/>
    </row>
    <row r="1305" ht="12.75">
      <c r="E1305" s="280"/>
    </row>
    <row r="1306" ht="12.75">
      <c r="E1306" s="280"/>
    </row>
    <row r="1307" ht="12.75">
      <c r="E1307" s="280"/>
    </row>
    <row r="1308" ht="12.75">
      <c r="E1308" s="280"/>
    </row>
    <row r="1309" ht="12.75">
      <c r="E1309" s="280"/>
    </row>
    <row r="1310" ht="12.75">
      <c r="E1310" s="280"/>
    </row>
    <row r="1311" ht="12.75">
      <c r="E1311" s="280"/>
    </row>
    <row r="1312" ht="12.75">
      <c r="E1312" s="280"/>
    </row>
    <row r="1313" ht="12.75">
      <c r="E1313" s="280"/>
    </row>
    <row r="1314" ht="12.75">
      <c r="E1314" s="280"/>
    </row>
    <row r="1315" ht="12.75">
      <c r="E1315" s="280"/>
    </row>
    <row r="1316" ht="12.75">
      <c r="E1316" s="280"/>
    </row>
    <row r="1317" ht="12.75">
      <c r="E1317" s="280"/>
    </row>
    <row r="1318" ht="12.75">
      <c r="E1318" s="280"/>
    </row>
    <row r="1319" ht="12.75">
      <c r="E1319" s="280"/>
    </row>
    <row r="1320" ht="12.75">
      <c r="E1320" s="280"/>
    </row>
    <row r="1321" ht="12.75">
      <c r="E1321" s="280"/>
    </row>
    <row r="1322" ht="12.75">
      <c r="E1322" s="280"/>
    </row>
    <row r="1323" ht="12.75">
      <c r="E1323" s="280"/>
    </row>
    <row r="1324" ht="12.75">
      <c r="E1324" s="280"/>
    </row>
    <row r="1325" ht="12.75">
      <c r="E1325" s="280"/>
    </row>
    <row r="1326" ht="12.75">
      <c r="E1326" s="280"/>
    </row>
    <row r="1327" ht="12.75">
      <c r="E1327" s="280"/>
    </row>
    <row r="1328" ht="12.75">
      <c r="E1328" s="280"/>
    </row>
    <row r="1329" ht="12.75">
      <c r="E1329" s="280"/>
    </row>
    <row r="1330" ht="12.75">
      <c r="E1330" s="280"/>
    </row>
    <row r="1331" ht="12.75">
      <c r="E1331" s="280"/>
    </row>
    <row r="1332" ht="12.75">
      <c r="E1332" s="280"/>
    </row>
    <row r="1333" ht="12.75">
      <c r="E1333" s="280"/>
    </row>
    <row r="1334" ht="12.75">
      <c r="E1334" s="280"/>
    </row>
    <row r="1335" ht="12.75">
      <c r="E1335" s="280"/>
    </row>
    <row r="1336" ht="12.75">
      <c r="E1336" s="280"/>
    </row>
    <row r="1337" ht="12.75">
      <c r="E1337" s="280"/>
    </row>
    <row r="1338" ht="12.75">
      <c r="E1338" s="280"/>
    </row>
    <row r="1339" ht="12.75">
      <c r="E1339" s="280"/>
    </row>
    <row r="1340" ht="12.75">
      <c r="E1340" s="280"/>
    </row>
    <row r="1341" ht="12.75">
      <c r="E1341" s="280"/>
    </row>
    <row r="1342" ht="12.75">
      <c r="E1342" s="280"/>
    </row>
    <row r="1343" ht="12.75">
      <c r="E1343" s="280"/>
    </row>
    <row r="1344" ht="12.75">
      <c r="E1344" s="280"/>
    </row>
    <row r="1345" ht="12.75">
      <c r="E1345" s="280"/>
    </row>
    <row r="1346" ht="12.75">
      <c r="E1346" s="280"/>
    </row>
    <row r="1347" ht="12.75">
      <c r="E1347" s="280"/>
    </row>
    <row r="1348" ht="12.75">
      <c r="E1348" s="280"/>
    </row>
    <row r="1349" ht="12.75">
      <c r="E1349" s="280"/>
    </row>
    <row r="1350" ht="12.75">
      <c r="E1350" s="280"/>
    </row>
    <row r="1351" ht="12.75">
      <c r="E1351" s="280"/>
    </row>
    <row r="1352" ht="12.75">
      <c r="E1352" s="280"/>
    </row>
    <row r="1353" ht="12.75">
      <c r="E1353" s="280"/>
    </row>
    <row r="1354" ht="12.75">
      <c r="E1354" s="280"/>
    </row>
    <row r="1355" ht="12.75">
      <c r="E1355" s="280"/>
    </row>
    <row r="1356" ht="12.75">
      <c r="E1356" s="280"/>
    </row>
    <row r="1357" ht="12.75">
      <c r="E1357" s="280"/>
    </row>
    <row r="1358" ht="12.75">
      <c r="E1358" s="280"/>
    </row>
    <row r="1359" ht="12.75">
      <c r="E1359" s="280"/>
    </row>
    <row r="1360" ht="12.75">
      <c r="E1360" s="280"/>
    </row>
    <row r="1361" ht="12.75">
      <c r="E1361" s="280"/>
    </row>
    <row r="1362" ht="12.75">
      <c r="E1362" s="280"/>
    </row>
    <row r="1363" ht="12.75">
      <c r="E1363" s="280"/>
    </row>
    <row r="1364" ht="12.75">
      <c r="E1364" s="280"/>
    </row>
    <row r="1365" ht="12.75">
      <c r="E1365" s="280"/>
    </row>
    <row r="1366" ht="12.75">
      <c r="E1366" s="280"/>
    </row>
    <row r="1367" ht="12.75">
      <c r="E1367" s="280"/>
    </row>
    <row r="1368" ht="12.75">
      <c r="E1368" s="280"/>
    </row>
    <row r="1369" ht="12.75">
      <c r="E1369" s="280"/>
    </row>
    <row r="1370" ht="12.75">
      <c r="E1370" s="280"/>
    </row>
    <row r="1371" ht="12.75">
      <c r="E1371" s="280"/>
    </row>
    <row r="1372" ht="12.75">
      <c r="E1372" s="280"/>
    </row>
    <row r="1373" ht="12.75">
      <c r="E1373" s="280"/>
    </row>
    <row r="1374" ht="12.75">
      <c r="E1374" s="280"/>
    </row>
    <row r="1375" ht="12.75">
      <c r="E1375" s="280"/>
    </row>
    <row r="1376" ht="12.75">
      <c r="E1376" s="280"/>
    </row>
    <row r="1377" ht="12.75">
      <c r="E1377" s="280"/>
    </row>
    <row r="1378" ht="12.75">
      <c r="E1378" s="280"/>
    </row>
    <row r="1379" ht="12.75">
      <c r="E1379" s="280"/>
    </row>
    <row r="1380" ht="12.75">
      <c r="E1380" s="280"/>
    </row>
    <row r="1381" ht="12.75">
      <c r="E1381" s="280"/>
    </row>
    <row r="1382" ht="12.75">
      <c r="E1382" s="280"/>
    </row>
    <row r="1383" ht="12.75">
      <c r="E1383" s="280"/>
    </row>
    <row r="1384" ht="12.75">
      <c r="E1384" s="280"/>
    </row>
    <row r="1385" ht="12.75">
      <c r="E1385" s="280"/>
    </row>
    <row r="1386" ht="12.75">
      <c r="E1386" s="280"/>
    </row>
    <row r="1387" ht="12.75">
      <c r="E1387" s="280"/>
    </row>
    <row r="1388" ht="12.75">
      <c r="E1388" s="280"/>
    </row>
    <row r="1389" ht="12.75">
      <c r="E1389" s="280"/>
    </row>
    <row r="1390" ht="12.75">
      <c r="E1390" s="280"/>
    </row>
    <row r="1391" ht="12.75">
      <c r="E1391" s="280"/>
    </row>
    <row r="1392" ht="12.75">
      <c r="E1392" s="280"/>
    </row>
    <row r="1393" ht="12.75">
      <c r="E1393" s="280"/>
    </row>
    <row r="1394" ht="12.75">
      <c r="E1394" s="280"/>
    </row>
    <row r="1395" ht="12.75">
      <c r="E1395" s="280"/>
    </row>
    <row r="1396" ht="12.75">
      <c r="E1396" s="280"/>
    </row>
    <row r="1397" ht="12.75">
      <c r="E1397" s="280"/>
    </row>
    <row r="1398" ht="12.75">
      <c r="E1398" s="280"/>
    </row>
    <row r="1399" ht="12.75">
      <c r="E1399" s="280"/>
    </row>
    <row r="1400" ht="12.75">
      <c r="E1400" s="280"/>
    </row>
    <row r="1401" ht="12.75">
      <c r="E1401" s="280"/>
    </row>
    <row r="1402" ht="12.75">
      <c r="E1402" s="280"/>
    </row>
    <row r="1403" ht="12.75">
      <c r="E1403" s="280"/>
    </row>
    <row r="1404" ht="12.75">
      <c r="E1404" s="280"/>
    </row>
    <row r="1405" ht="12.75">
      <c r="E1405" s="280"/>
    </row>
    <row r="1406" ht="12.75">
      <c r="E1406" s="280"/>
    </row>
    <row r="1407" ht="12.75">
      <c r="E1407" s="280"/>
    </row>
    <row r="1408" ht="12.75">
      <c r="E1408" s="280"/>
    </row>
    <row r="1409" ht="12.75">
      <c r="E1409" s="280"/>
    </row>
    <row r="1410" ht="12.75">
      <c r="E1410" s="280"/>
    </row>
    <row r="1411" ht="12.75">
      <c r="E1411" s="280"/>
    </row>
    <row r="1412" ht="12.75">
      <c r="E1412" s="280"/>
    </row>
    <row r="1413" ht="12.75">
      <c r="E1413" s="280"/>
    </row>
    <row r="1414" ht="12.75">
      <c r="E1414" s="280"/>
    </row>
    <row r="1415" ht="12.75">
      <c r="E1415" s="280"/>
    </row>
    <row r="1416" ht="12.75">
      <c r="E1416" s="280"/>
    </row>
    <row r="1417" ht="12.75">
      <c r="E1417" s="280"/>
    </row>
    <row r="1418" ht="12.75">
      <c r="E1418" s="280"/>
    </row>
    <row r="1419" ht="12.75">
      <c r="E1419" s="280"/>
    </row>
    <row r="1420" ht="12.75">
      <c r="E1420" s="280"/>
    </row>
    <row r="1421" ht="12.75">
      <c r="E1421" s="280"/>
    </row>
    <row r="1422" ht="12.75">
      <c r="E1422" s="280"/>
    </row>
    <row r="1423" ht="12.75">
      <c r="E1423" s="280"/>
    </row>
    <row r="1424" ht="12.75">
      <c r="E1424" s="280"/>
    </row>
    <row r="1425" ht="12.75">
      <c r="E1425" s="280"/>
    </row>
    <row r="1426" ht="12.75">
      <c r="E1426" s="280"/>
    </row>
    <row r="1427" ht="12.75">
      <c r="E1427" s="280"/>
    </row>
    <row r="1428" ht="12.75">
      <c r="E1428" s="280"/>
    </row>
    <row r="1429" ht="12.75">
      <c r="E1429" s="280"/>
    </row>
    <row r="1430" ht="12.75">
      <c r="E1430" s="280"/>
    </row>
    <row r="1431" ht="12.75">
      <c r="E1431" s="280"/>
    </row>
    <row r="1432" ht="12.75">
      <c r="E1432" s="280"/>
    </row>
    <row r="1433" ht="12.75">
      <c r="E1433" s="280"/>
    </row>
    <row r="1434" ht="12.75">
      <c r="E1434" s="280"/>
    </row>
    <row r="1435" ht="12.75">
      <c r="E1435" s="280"/>
    </row>
    <row r="1436" ht="12.75">
      <c r="E1436" s="280"/>
    </row>
    <row r="1437" ht="12.75">
      <c r="E1437" s="280"/>
    </row>
    <row r="1438" ht="12.75">
      <c r="E1438" s="280"/>
    </row>
    <row r="1439" ht="12.75">
      <c r="E1439" s="280"/>
    </row>
    <row r="1440" ht="12.75">
      <c r="E1440" s="280"/>
    </row>
    <row r="1441" ht="12.75">
      <c r="E1441" s="280"/>
    </row>
    <row r="1442" ht="12.75">
      <c r="E1442" s="280"/>
    </row>
    <row r="1443" ht="12.75">
      <c r="E1443" s="280"/>
    </row>
    <row r="1444" ht="12.75">
      <c r="E1444" s="280"/>
    </row>
    <row r="1445" ht="12.75">
      <c r="E1445" s="280"/>
    </row>
    <row r="1446" ht="12.75">
      <c r="E1446" s="280"/>
    </row>
    <row r="1447" ht="12.75">
      <c r="E1447" s="280"/>
    </row>
    <row r="1448" ht="12.75">
      <c r="E1448" s="280"/>
    </row>
    <row r="1449" ht="12.75">
      <c r="E1449" s="280"/>
    </row>
    <row r="1450" ht="12.75">
      <c r="E1450" s="280"/>
    </row>
    <row r="1451" ht="12.75">
      <c r="E1451" s="280"/>
    </row>
    <row r="1452" ht="12.75">
      <c r="E1452" s="280"/>
    </row>
    <row r="1453" ht="12.75">
      <c r="E1453" s="280"/>
    </row>
    <row r="1454" ht="12.75">
      <c r="E1454" s="280"/>
    </row>
    <row r="1455" ht="12.75">
      <c r="E1455" s="280"/>
    </row>
    <row r="1456" ht="12.75">
      <c r="E1456" s="280"/>
    </row>
    <row r="1457" ht="12.75">
      <c r="E1457" s="280"/>
    </row>
    <row r="1458" ht="12.75">
      <c r="E1458" s="280"/>
    </row>
    <row r="1459" ht="12.75">
      <c r="E1459" s="280"/>
    </row>
    <row r="1460" ht="12.75">
      <c r="E1460" s="280"/>
    </row>
    <row r="1461" ht="12.75">
      <c r="E1461" s="280"/>
    </row>
    <row r="1462" ht="12.75">
      <c r="E1462" s="280"/>
    </row>
    <row r="1463" ht="12.75">
      <c r="E1463" s="280"/>
    </row>
    <row r="1464" ht="12.75">
      <c r="E1464" s="280"/>
    </row>
    <row r="1465" ht="12.75">
      <c r="E1465" s="280"/>
    </row>
    <row r="1466" ht="12.75">
      <c r="E1466" s="280"/>
    </row>
    <row r="1467" ht="12.75">
      <c r="E1467" s="280"/>
    </row>
    <row r="1468" ht="12.75">
      <c r="E1468" s="280"/>
    </row>
    <row r="1469" ht="12.75">
      <c r="E1469" s="280"/>
    </row>
    <row r="1470" ht="12.75">
      <c r="E1470" s="280"/>
    </row>
    <row r="1471" ht="12.75">
      <c r="E1471" s="280"/>
    </row>
    <row r="1472" ht="12.75">
      <c r="E1472" s="280"/>
    </row>
    <row r="1473" ht="12.75">
      <c r="E1473" s="280"/>
    </row>
    <row r="1474" ht="12.75">
      <c r="E1474" s="280"/>
    </row>
    <row r="1475" ht="12.75">
      <c r="E1475" s="280"/>
    </row>
    <row r="1476" ht="12.75">
      <c r="E1476" s="280"/>
    </row>
    <row r="1477" ht="12.75">
      <c r="E1477" s="280"/>
    </row>
    <row r="1478" ht="12.75">
      <c r="E1478" s="280"/>
    </row>
    <row r="1479" ht="12.75">
      <c r="E1479" s="280"/>
    </row>
    <row r="1480" ht="12.75">
      <c r="E1480" s="280"/>
    </row>
    <row r="1481" ht="12.75">
      <c r="E1481" s="280"/>
    </row>
    <row r="1482" ht="12.75">
      <c r="E1482" s="280"/>
    </row>
    <row r="1483" ht="12.75">
      <c r="E1483" s="280"/>
    </row>
    <row r="1484" ht="12.75">
      <c r="E1484" s="280"/>
    </row>
    <row r="1485" ht="12.75">
      <c r="E1485" s="280"/>
    </row>
    <row r="1486" ht="12.75">
      <c r="E1486" s="280"/>
    </row>
    <row r="1487" ht="12.75">
      <c r="E1487" s="280"/>
    </row>
    <row r="1488" ht="12.75">
      <c r="E1488" s="280"/>
    </row>
    <row r="1489" ht="12.75">
      <c r="E1489" s="280"/>
    </row>
    <row r="1490" ht="12.75">
      <c r="E1490" s="280"/>
    </row>
    <row r="1491" ht="12.75">
      <c r="E1491" s="280"/>
    </row>
    <row r="1492" ht="12.75">
      <c r="E1492" s="280"/>
    </row>
    <row r="1493" ht="12.75">
      <c r="E1493" s="280"/>
    </row>
    <row r="1494" ht="12.75">
      <c r="E1494" s="280"/>
    </row>
    <row r="1495" ht="12.75">
      <c r="E1495" s="280"/>
    </row>
    <row r="1496" ht="12.75">
      <c r="E1496" s="280"/>
    </row>
    <row r="1497" ht="12.75">
      <c r="E1497" s="280"/>
    </row>
    <row r="1498" ht="12.75">
      <c r="E1498" s="280"/>
    </row>
    <row r="1499" ht="12.75">
      <c r="E1499" s="280"/>
    </row>
    <row r="1500" ht="12.75">
      <c r="E1500" s="280"/>
    </row>
    <row r="1501" ht="12.75">
      <c r="E1501" s="280"/>
    </row>
    <row r="1502" ht="12.75">
      <c r="E1502" s="280"/>
    </row>
    <row r="1503" ht="12.75">
      <c r="E1503" s="280"/>
    </row>
    <row r="1504" ht="12.75">
      <c r="E1504" s="280"/>
    </row>
    <row r="1505" ht="12.75">
      <c r="E1505" s="280"/>
    </row>
    <row r="1506" ht="12.75">
      <c r="E1506" s="280"/>
    </row>
    <row r="1507" ht="12.75">
      <c r="E1507" s="280"/>
    </row>
    <row r="1508" ht="12.75">
      <c r="E1508" s="280"/>
    </row>
    <row r="1509" ht="12.75">
      <c r="E1509" s="280"/>
    </row>
    <row r="1510" ht="12.75">
      <c r="E1510" s="280"/>
    </row>
    <row r="1511" ht="12.75">
      <c r="E1511" s="280"/>
    </row>
    <row r="1512" ht="12.75">
      <c r="E1512" s="280"/>
    </row>
    <row r="1513" ht="12.75">
      <c r="E1513" s="280"/>
    </row>
    <row r="1514" ht="12.75">
      <c r="E1514" s="280"/>
    </row>
    <row r="1515" ht="12.75">
      <c r="E1515" s="280"/>
    </row>
    <row r="1516" ht="12.75">
      <c r="E1516" s="280"/>
    </row>
    <row r="1517" ht="12.75">
      <c r="E1517" s="280"/>
    </row>
    <row r="1518" ht="12.75">
      <c r="E1518" s="280"/>
    </row>
    <row r="1519" ht="12.75">
      <c r="E1519" s="280"/>
    </row>
    <row r="1520" ht="12.75">
      <c r="E1520" s="280"/>
    </row>
    <row r="1521" ht="12.75">
      <c r="E1521" s="280"/>
    </row>
    <row r="1522" ht="12.75">
      <c r="E1522" s="280"/>
    </row>
    <row r="1523" ht="12.75">
      <c r="E1523" s="280"/>
    </row>
    <row r="1524" ht="12.75">
      <c r="E1524" s="280"/>
    </row>
    <row r="1525" ht="12.75">
      <c r="E1525" s="280"/>
    </row>
    <row r="1526" ht="12.75">
      <c r="E1526" s="280"/>
    </row>
    <row r="1527" ht="12.75">
      <c r="E1527" s="280"/>
    </row>
    <row r="1528" ht="12.75">
      <c r="E1528" s="280"/>
    </row>
    <row r="1529" ht="12.75">
      <c r="E1529" s="280"/>
    </row>
    <row r="1530" ht="12.75">
      <c r="E1530" s="280"/>
    </row>
    <row r="1531" ht="12.75">
      <c r="E1531" s="280"/>
    </row>
    <row r="1532" ht="12.75">
      <c r="E1532" s="280"/>
    </row>
    <row r="1533" ht="12.75">
      <c r="E1533" s="280"/>
    </row>
    <row r="1534" ht="12.75">
      <c r="E1534" s="280"/>
    </row>
    <row r="1535" ht="12.75">
      <c r="E1535" s="280"/>
    </row>
    <row r="1536" ht="12.75">
      <c r="E1536" s="280"/>
    </row>
    <row r="1537" ht="12.75">
      <c r="E1537" s="280"/>
    </row>
    <row r="1538" ht="12.75">
      <c r="E1538" s="280"/>
    </row>
    <row r="1539" ht="12.75">
      <c r="E1539" s="280"/>
    </row>
    <row r="1540" ht="12.75">
      <c r="E1540" s="280"/>
    </row>
    <row r="1541" ht="12.75">
      <c r="E1541" s="280"/>
    </row>
    <row r="1542" ht="12.75">
      <c r="E1542" s="280"/>
    </row>
    <row r="1543" ht="12.75">
      <c r="E1543" s="280"/>
    </row>
    <row r="1544" ht="12.75">
      <c r="E1544" s="280"/>
    </row>
    <row r="1545" ht="12.75">
      <c r="E1545" s="280"/>
    </row>
    <row r="1546" ht="12.75">
      <c r="E1546" s="280"/>
    </row>
    <row r="1547" ht="12.75">
      <c r="E1547" s="280"/>
    </row>
    <row r="1548" ht="12.75">
      <c r="E1548" s="280"/>
    </row>
    <row r="1549" ht="12.75">
      <c r="E1549" s="280"/>
    </row>
    <row r="1550" ht="12.75">
      <c r="E1550" s="280"/>
    </row>
    <row r="1551" ht="12.75">
      <c r="E1551" s="280"/>
    </row>
    <row r="1552" ht="12.75">
      <c r="E1552" s="280"/>
    </row>
    <row r="1553" ht="12.75">
      <c r="E1553" s="280"/>
    </row>
    <row r="1554" ht="12.75">
      <c r="E1554" s="280"/>
    </row>
    <row r="1555" ht="12.75">
      <c r="E1555" s="280"/>
    </row>
    <row r="1556" ht="12.75">
      <c r="E1556" s="280"/>
    </row>
    <row r="1557" ht="12.75">
      <c r="E1557" s="280"/>
    </row>
    <row r="1558" ht="12.75">
      <c r="E1558" s="280"/>
    </row>
    <row r="1559" ht="12.75">
      <c r="E1559" s="280"/>
    </row>
    <row r="1560" ht="12.75">
      <c r="E1560" s="280"/>
    </row>
    <row r="1561" ht="12.75">
      <c r="E1561" s="280"/>
    </row>
    <row r="1562" ht="12.75">
      <c r="E1562" s="280"/>
    </row>
    <row r="1563" ht="12.75">
      <c r="E1563" s="280"/>
    </row>
    <row r="1564" ht="12.75">
      <c r="E1564" s="280"/>
    </row>
    <row r="1565" ht="12.75">
      <c r="E1565" s="280"/>
    </row>
    <row r="1566" ht="12.75">
      <c r="E1566" s="280"/>
    </row>
    <row r="1567" ht="12.75">
      <c r="E1567" s="280"/>
    </row>
    <row r="1568" ht="12.75">
      <c r="E1568" s="280"/>
    </row>
    <row r="1569" ht="12.75">
      <c r="E1569" s="280"/>
    </row>
    <row r="1570" ht="12.75">
      <c r="E1570" s="280"/>
    </row>
    <row r="1571" ht="12.75">
      <c r="E1571" s="280"/>
    </row>
    <row r="1572" ht="12.75">
      <c r="E1572" s="280"/>
    </row>
    <row r="1573" ht="12.75">
      <c r="E1573" s="280"/>
    </row>
    <row r="1574" ht="12.75">
      <c r="E1574" s="280"/>
    </row>
    <row r="1575" ht="12.75">
      <c r="E1575" s="280"/>
    </row>
    <row r="1576" ht="12.75">
      <c r="E1576" s="280"/>
    </row>
    <row r="1577" ht="12.75">
      <c r="E1577" s="280"/>
    </row>
    <row r="1578" ht="12.75">
      <c r="E1578" s="280"/>
    </row>
    <row r="1579" ht="12.75">
      <c r="E1579" s="280"/>
    </row>
    <row r="1580" ht="12.75">
      <c r="E1580" s="280"/>
    </row>
    <row r="1581" ht="12.75">
      <c r="E1581" s="280"/>
    </row>
    <row r="1582" ht="12.75">
      <c r="E1582" s="280"/>
    </row>
    <row r="1583" ht="12.75">
      <c r="E1583" s="280"/>
    </row>
    <row r="1584" ht="12.75">
      <c r="E1584" s="280"/>
    </row>
    <row r="1585" ht="12.75">
      <c r="E1585" s="280"/>
    </row>
    <row r="1586" ht="12.75">
      <c r="E1586" s="280"/>
    </row>
    <row r="1587" ht="12.75">
      <c r="E1587" s="280"/>
    </row>
    <row r="1588" ht="12.75">
      <c r="E1588" s="280"/>
    </row>
    <row r="1589" ht="12.75">
      <c r="E1589" s="280"/>
    </row>
    <row r="1590" ht="12.75">
      <c r="E1590" s="280"/>
    </row>
    <row r="1591" ht="12.75">
      <c r="E1591" s="280"/>
    </row>
    <row r="1592" ht="12.75">
      <c r="E1592" s="280"/>
    </row>
    <row r="1593" ht="12.75">
      <c r="E1593" s="280"/>
    </row>
    <row r="1594" ht="12.75">
      <c r="E1594" s="280"/>
    </row>
    <row r="1595" ht="12.75">
      <c r="E1595" s="280"/>
    </row>
    <row r="1596" ht="12.75">
      <c r="E1596" s="280"/>
    </row>
    <row r="1597" ht="12.75">
      <c r="E1597" s="280"/>
    </row>
    <row r="1598" ht="12.75">
      <c r="E1598" s="280"/>
    </row>
    <row r="1599" ht="12.75">
      <c r="E1599" s="280"/>
    </row>
    <row r="1600" ht="12.75">
      <c r="E1600" s="280"/>
    </row>
    <row r="1601" ht="12.75">
      <c r="E1601" s="280"/>
    </row>
    <row r="1602" ht="12.75">
      <c r="E1602" s="280"/>
    </row>
    <row r="1603" ht="12.75">
      <c r="E1603" s="280"/>
    </row>
    <row r="1604" ht="12.75">
      <c r="E1604" s="280"/>
    </row>
    <row r="1605" ht="12.75">
      <c r="E1605" s="280"/>
    </row>
    <row r="1606" ht="12.75">
      <c r="E1606" s="280"/>
    </row>
    <row r="1607" ht="12.75">
      <c r="E1607" s="280"/>
    </row>
    <row r="1608" ht="12.75">
      <c r="E1608" s="280"/>
    </row>
    <row r="1609" ht="12.75">
      <c r="E1609" s="280"/>
    </row>
    <row r="1610" ht="12.75">
      <c r="E1610" s="280"/>
    </row>
    <row r="1611" ht="12.75">
      <c r="E1611" s="280"/>
    </row>
    <row r="1612" ht="12.75">
      <c r="E1612" s="280"/>
    </row>
    <row r="1613" ht="12.75">
      <c r="E1613" s="280"/>
    </row>
    <row r="1614" ht="12.75">
      <c r="E1614" s="280"/>
    </row>
    <row r="1615" ht="12.75">
      <c r="E1615" s="280"/>
    </row>
    <row r="1616" ht="12.75">
      <c r="E1616" s="280"/>
    </row>
    <row r="1617" ht="12.75">
      <c r="E1617" s="280"/>
    </row>
    <row r="1618" ht="12.75">
      <c r="E1618" s="280"/>
    </row>
    <row r="1619" ht="12.75">
      <c r="E1619" s="280"/>
    </row>
    <row r="1620" ht="12.75">
      <c r="E1620" s="280"/>
    </row>
    <row r="1621" ht="12.75">
      <c r="E1621" s="280"/>
    </row>
    <row r="1622" ht="12.75">
      <c r="E1622" s="280"/>
    </row>
    <row r="1623" ht="12.75">
      <c r="E1623" s="280"/>
    </row>
    <row r="1624" ht="12.75">
      <c r="E1624" s="280"/>
    </row>
    <row r="1625" ht="12.75">
      <c r="E1625" s="280"/>
    </row>
    <row r="1626" ht="12.75">
      <c r="E1626" s="280"/>
    </row>
    <row r="1627" ht="12.75">
      <c r="E1627" s="280"/>
    </row>
    <row r="1628" ht="12.75">
      <c r="E1628" s="280"/>
    </row>
    <row r="1629" ht="12.75">
      <c r="E1629" s="280"/>
    </row>
    <row r="1630" ht="12.75">
      <c r="E1630" s="280"/>
    </row>
    <row r="1631" ht="12.75">
      <c r="E1631" s="280"/>
    </row>
    <row r="1632" ht="12.75">
      <c r="E1632" s="280"/>
    </row>
    <row r="1633" ht="12.75">
      <c r="E1633" s="280"/>
    </row>
    <row r="1634" ht="12.75">
      <c r="E1634" s="280"/>
    </row>
    <row r="1635" ht="12.75">
      <c r="E1635" s="280"/>
    </row>
    <row r="1636" ht="12.75">
      <c r="E1636" s="280"/>
    </row>
    <row r="1637" ht="12.75">
      <c r="E1637" s="280"/>
    </row>
    <row r="1638" ht="12.75">
      <c r="E1638" s="280"/>
    </row>
    <row r="1639" ht="12.75">
      <c r="E1639" s="280"/>
    </row>
    <row r="1640" ht="12.75">
      <c r="E1640" s="280"/>
    </row>
    <row r="1641" ht="12.75">
      <c r="E1641" s="280"/>
    </row>
    <row r="1642" ht="12.75">
      <c r="E1642" s="280"/>
    </row>
    <row r="1643" ht="12.75">
      <c r="E1643" s="280"/>
    </row>
    <row r="1644" ht="12.75">
      <c r="E1644" s="280"/>
    </row>
    <row r="1645" ht="12.75">
      <c r="E1645" s="280"/>
    </row>
    <row r="1646" ht="12.75">
      <c r="E1646" s="280"/>
    </row>
    <row r="1647" ht="12.75">
      <c r="E1647" s="280"/>
    </row>
    <row r="1648" ht="12.75">
      <c r="E1648" s="280"/>
    </row>
    <row r="1649" ht="12.75">
      <c r="E1649" s="280"/>
    </row>
    <row r="1650" ht="12.75">
      <c r="E1650" s="280"/>
    </row>
    <row r="1651" ht="12.75">
      <c r="E1651" s="280"/>
    </row>
    <row r="1652" ht="12.75">
      <c r="E1652" s="280"/>
    </row>
    <row r="1653" ht="12.75">
      <c r="E1653" s="280"/>
    </row>
    <row r="1654" ht="12.75">
      <c r="E1654" s="280"/>
    </row>
    <row r="1655" ht="12.75">
      <c r="E1655" s="280"/>
    </row>
    <row r="1656" ht="12.75">
      <c r="E1656" s="280"/>
    </row>
    <row r="1657" ht="12.75">
      <c r="E1657" s="280"/>
    </row>
    <row r="1658" ht="12.75">
      <c r="E1658" s="280"/>
    </row>
    <row r="1659" ht="12.75">
      <c r="E1659" s="280"/>
    </row>
    <row r="1660" ht="12.75">
      <c r="E1660" s="280"/>
    </row>
    <row r="1661" ht="12.75">
      <c r="E1661" s="280"/>
    </row>
    <row r="1662" ht="12.75">
      <c r="E1662" s="280"/>
    </row>
    <row r="1663" ht="12.75">
      <c r="E1663" s="280"/>
    </row>
    <row r="1664" ht="12.75">
      <c r="E1664" s="280"/>
    </row>
    <row r="1665" ht="12.75">
      <c r="E1665" s="280"/>
    </row>
    <row r="1666" ht="12.75">
      <c r="E1666" s="280"/>
    </row>
    <row r="1667" ht="12.75">
      <c r="E1667" s="280"/>
    </row>
    <row r="1668" ht="12.75">
      <c r="E1668" s="280"/>
    </row>
    <row r="1669" ht="12.75">
      <c r="E1669" s="280"/>
    </row>
    <row r="1670" ht="12.75">
      <c r="E1670" s="280"/>
    </row>
    <row r="1671" ht="12.75">
      <c r="E1671" s="280"/>
    </row>
    <row r="1672" ht="12.75">
      <c r="E1672" s="280"/>
    </row>
    <row r="1673" ht="12.75">
      <c r="E1673" s="280"/>
    </row>
    <row r="1674" ht="12.75">
      <c r="E1674" s="280"/>
    </row>
    <row r="1675" ht="12.75">
      <c r="E1675" s="280"/>
    </row>
    <row r="1676" ht="12.75">
      <c r="E1676" s="280"/>
    </row>
    <row r="1677" ht="12.75">
      <c r="E1677" s="280"/>
    </row>
    <row r="1678" ht="12.75">
      <c r="E1678" s="280"/>
    </row>
    <row r="1679" ht="12.75">
      <c r="E1679" s="280"/>
    </row>
    <row r="1680" ht="12.75">
      <c r="E1680" s="280"/>
    </row>
    <row r="1681" ht="12.75">
      <c r="E1681" s="280"/>
    </row>
    <row r="1682" ht="12.75">
      <c r="E1682" s="280"/>
    </row>
    <row r="1683" ht="12.75">
      <c r="E1683" s="280"/>
    </row>
    <row r="1684" ht="12.75">
      <c r="E1684" s="280"/>
    </row>
    <row r="1685" ht="12.75">
      <c r="E1685" s="280"/>
    </row>
    <row r="1686" ht="12.75">
      <c r="E1686" s="280"/>
    </row>
    <row r="1687" ht="12.75">
      <c r="E1687" s="280"/>
    </row>
    <row r="1688" ht="12.75">
      <c r="E1688" s="280"/>
    </row>
    <row r="1689" ht="12.75">
      <c r="E1689" s="280"/>
    </row>
    <row r="1690" ht="12.75">
      <c r="E1690" s="280"/>
    </row>
    <row r="1691" ht="12.75">
      <c r="E1691" s="280"/>
    </row>
    <row r="1692" ht="12.75">
      <c r="E1692" s="280"/>
    </row>
    <row r="1693" ht="12.75">
      <c r="E1693" s="280"/>
    </row>
    <row r="1694" ht="12.75">
      <c r="E1694" s="280"/>
    </row>
    <row r="1695" ht="12.75">
      <c r="E1695" s="280"/>
    </row>
    <row r="1696" ht="12.75">
      <c r="E1696" s="280"/>
    </row>
    <row r="1697" ht="12.75">
      <c r="E1697" s="280"/>
    </row>
    <row r="1698" ht="12.75">
      <c r="E1698" s="280"/>
    </row>
    <row r="1699" ht="12.75">
      <c r="E1699" s="280"/>
    </row>
    <row r="1700" ht="12.75">
      <c r="E1700" s="280"/>
    </row>
    <row r="1701" ht="12.75">
      <c r="E1701" s="280"/>
    </row>
    <row r="1702" ht="12.75">
      <c r="E1702" s="280"/>
    </row>
    <row r="1703" ht="12.75">
      <c r="E1703" s="280"/>
    </row>
    <row r="1704" ht="12.75">
      <c r="E1704" s="280"/>
    </row>
    <row r="1705" ht="12.75">
      <c r="E1705" s="280"/>
    </row>
    <row r="1706" ht="12.75">
      <c r="E1706" s="280"/>
    </row>
    <row r="1707" ht="12.75">
      <c r="E1707" s="280"/>
    </row>
    <row r="1708" ht="12.75">
      <c r="E1708" s="280"/>
    </row>
    <row r="1709" ht="12.75">
      <c r="E1709" s="280"/>
    </row>
    <row r="1710" ht="12.75">
      <c r="E1710" s="280"/>
    </row>
    <row r="1711" ht="12.75">
      <c r="E1711" s="280"/>
    </row>
    <row r="1712" ht="12.75">
      <c r="E1712" s="280"/>
    </row>
    <row r="1713" ht="12.75">
      <c r="E1713" s="280"/>
    </row>
    <row r="1714" ht="12.75">
      <c r="E1714" s="280"/>
    </row>
    <row r="1715" ht="12.75">
      <c r="E1715" s="280"/>
    </row>
    <row r="1716" ht="12.75">
      <c r="E1716" s="280"/>
    </row>
    <row r="1717" ht="12.75">
      <c r="E1717" s="280"/>
    </row>
    <row r="1718" ht="12.75">
      <c r="E1718" s="280"/>
    </row>
    <row r="1719" ht="12.75">
      <c r="E1719" s="280"/>
    </row>
    <row r="1720" ht="12.75">
      <c r="E1720" s="280"/>
    </row>
    <row r="1721" ht="12.75">
      <c r="E1721" s="280"/>
    </row>
    <row r="1722" ht="12.75">
      <c r="E1722" s="280"/>
    </row>
    <row r="1723" ht="12.75">
      <c r="E1723" s="280"/>
    </row>
    <row r="1724" ht="12.75">
      <c r="E1724" s="280"/>
    </row>
    <row r="1725" ht="12.75">
      <c r="E1725" s="280"/>
    </row>
    <row r="1726" ht="12.75">
      <c r="E1726" s="280"/>
    </row>
    <row r="1727" ht="12.75">
      <c r="E1727" s="280"/>
    </row>
    <row r="1728" ht="12.75">
      <c r="E1728" s="280"/>
    </row>
    <row r="1729" ht="12.75">
      <c r="E1729" s="280"/>
    </row>
    <row r="1730" ht="12.75">
      <c r="E1730" s="280"/>
    </row>
    <row r="1731" ht="12.75">
      <c r="E1731" s="280"/>
    </row>
    <row r="1732" ht="12.75">
      <c r="E1732" s="280"/>
    </row>
    <row r="1733" ht="12.75">
      <c r="E1733" s="280"/>
    </row>
    <row r="1734" ht="12.75">
      <c r="E1734" s="280"/>
    </row>
    <row r="1735" ht="12.75">
      <c r="E1735" s="280"/>
    </row>
    <row r="1736" ht="12.75">
      <c r="E1736" s="280"/>
    </row>
    <row r="1737" ht="12.75">
      <c r="E1737" s="280"/>
    </row>
    <row r="1738" ht="12.75">
      <c r="E1738" s="280"/>
    </row>
    <row r="1739" ht="12.75">
      <c r="E1739" s="280"/>
    </row>
    <row r="1740" ht="12.75">
      <c r="E1740" s="280"/>
    </row>
    <row r="1741" ht="12.75">
      <c r="E1741" s="280"/>
    </row>
    <row r="1742" ht="12.75">
      <c r="E1742" s="280"/>
    </row>
    <row r="1743" ht="12.75">
      <c r="E1743" s="280"/>
    </row>
    <row r="1744" ht="12.75">
      <c r="E1744" s="280"/>
    </row>
    <row r="1745" ht="12.75">
      <c r="E1745" s="280"/>
    </row>
    <row r="1746" ht="12.75">
      <c r="E1746" s="280"/>
    </row>
    <row r="1747" ht="12.75">
      <c r="E1747" s="280"/>
    </row>
    <row r="1748" ht="12.75">
      <c r="E1748" s="280"/>
    </row>
    <row r="1749" ht="12.75">
      <c r="E1749" s="280"/>
    </row>
    <row r="1750" ht="12.75">
      <c r="E1750" s="280"/>
    </row>
    <row r="1751" ht="12.75">
      <c r="E1751" s="280"/>
    </row>
    <row r="1752" ht="12.75">
      <c r="E1752" s="280"/>
    </row>
    <row r="1753" ht="12.75">
      <c r="E1753" s="280"/>
    </row>
    <row r="1754" ht="12.75">
      <c r="E1754" s="280"/>
    </row>
    <row r="1755" ht="12.75">
      <c r="E1755" s="280"/>
    </row>
    <row r="1756" ht="12.75">
      <c r="E1756" s="280"/>
    </row>
    <row r="1757" ht="12.75">
      <c r="E1757" s="280"/>
    </row>
    <row r="1758" ht="12.75">
      <c r="E1758" s="280"/>
    </row>
    <row r="1759" ht="12.75">
      <c r="E1759" s="280"/>
    </row>
    <row r="1760" ht="12.75">
      <c r="E1760" s="280"/>
    </row>
    <row r="1761" ht="12.75">
      <c r="E1761" s="280"/>
    </row>
    <row r="1762" ht="12.75">
      <c r="E1762" s="280"/>
    </row>
    <row r="1763" ht="12.75">
      <c r="E1763" s="280"/>
    </row>
    <row r="1764" ht="12.75">
      <c r="E1764" s="280"/>
    </row>
    <row r="1765" ht="12.75">
      <c r="E1765" s="280"/>
    </row>
    <row r="1766" ht="12.75">
      <c r="E1766" s="280"/>
    </row>
    <row r="1767" ht="12.75">
      <c r="E1767" s="280"/>
    </row>
    <row r="1768" ht="12.75">
      <c r="E1768" s="280"/>
    </row>
    <row r="1769" ht="12.75">
      <c r="E1769" s="280"/>
    </row>
    <row r="1770" ht="12.75">
      <c r="E1770" s="280"/>
    </row>
    <row r="1771" ht="12.75">
      <c r="E1771" s="280"/>
    </row>
    <row r="1772" ht="12.75">
      <c r="E1772" s="280"/>
    </row>
    <row r="1773" ht="12.75">
      <c r="E1773" s="280"/>
    </row>
    <row r="1774" ht="12.75">
      <c r="E1774" s="280"/>
    </row>
    <row r="1775" ht="12.75">
      <c r="E1775" s="280"/>
    </row>
    <row r="1776" ht="12.75">
      <c r="E1776" s="280"/>
    </row>
    <row r="1777" ht="12.75">
      <c r="E1777" s="280"/>
    </row>
    <row r="1778" ht="12.75">
      <c r="E1778" s="280"/>
    </row>
    <row r="1779" ht="12.75">
      <c r="E1779" s="280"/>
    </row>
    <row r="1780" ht="12.75">
      <c r="E1780" s="280"/>
    </row>
    <row r="1781" ht="12.75">
      <c r="E1781" s="280"/>
    </row>
    <row r="1782" ht="12.75">
      <c r="E1782" s="280"/>
    </row>
    <row r="1783" ht="12.75">
      <c r="E1783" s="280"/>
    </row>
    <row r="1784" ht="12.75">
      <c r="E1784" s="280"/>
    </row>
    <row r="1785" ht="12.75">
      <c r="E1785" s="280"/>
    </row>
    <row r="1786" ht="12.75">
      <c r="E1786" s="280"/>
    </row>
    <row r="1787" ht="12.75">
      <c r="E1787" s="280"/>
    </row>
    <row r="1788" ht="12.75">
      <c r="E1788" s="280"/>
    </row>
    <row r="1789" ht="12.75">
      <c r="E1789" s="280"/>
    </row>
    <row r="1790" ht="12.75">
      <c r="E1790" s="280"/>
    </row>
    <row r="1791" ht="12.75">
      <c r="E1791" s="280"/>
    </row>
    <row r="1792" ht="12.75">
      <c r="E1792" s="280"/>
    </row>
    <row r="1793" ht="12.75">
      <c r="E1793" s="280"/>
    </row>
    <row r="1794" ht="12.75">
      <c r="E1794" s="280"/>
    </row>
    <row r="1795" ht="12.75">
      <c r="E1795" s="280"/>
    </row>
    <row r="1796" ht="12.75">
      <c r="E1796" s="280"/>
    </row>
    <row r="1797" ht="12.75">
      <c r="E1797" s="280"/>
    </row>
    <row r="1798" ht="12.75">
      <c r="E1798" s="280"/>
    </row>
    <row r="1799" ht="12.75">
      <c r="E1799" s="280"/>
    </row>
    <row r="1800" ht="12.75">
      <c r="E1800" s="280"/>
    </row>
    <row r="1801" ht="12.75">
      <c r="E1801" s="280"/>
    </row>
    <row r="1802" ht="12.75">
      <c r="E1802" s="280"/>
    </row>
    <row r="1803" ht="12.75">
      <c r="E1803" s="280"/>
    </row>
    <row r="1804" ht="12.75">
      <c r="E1804" s="280"/>
    </row>
    <row r="1805" ht="12.75">
      <c r="E1805" s="280"/>
    </row>
    <row r="1806" ht="12.75">
      <c r="E1806" s="280"/>
    </row>
    <row r="1807" ht="12.75">
      <c r="E1807" s="280"/>
    </row>
    <row r="1808" ht="12.75">
      <c r="E1808" s="280"/>
    </row>
    <row r="1809" ht="12.75">
      <c r="E1809" s="280"/>
    </row>
    <row r="1810" ht="12.75">
      <c r="E1810" s="280"/>
    </row>
    <row r="1811" ht="12.75">
      <c r="E1811" s="280"/>
    </row>
    <row r="1812" ht="12.75">
      <c r="E1812" s="280"/>
    </row>
    <row r="1813" ht="12.75">
      <c r="E1813" s="280"/>
    </row>
    <row r="1814" ht="12.75">
      <c r="E1814" s="280"/>
    </row>
    <row r="1815" ht="12.75">
      <c r="E1815" s="280"/>
    </row>
    <row r="1816" ht="12.75">
      <c r="E1816" s="280"/>
    </row>
    <row r="1817" ht="12.75">
      <c r="E1817" s="280"/>
    </row>
    <row r="1818" ht="12.75">
      <c r="E1818" s="280"/>
    </row>
    <row r="1819" ht="12.75">
      <c r="E1819" s="280"/>
    </row>
    <row r="1820" ht="12.75">
      <c r="E1820" s="280"/>
    </row>
    <row r="1821" ht="12.75">
      <c r="E1821" s="280"/>
    </row>
    <row r="1822" ht="12.75">
      <c r="E1822" s="280"/>
    </row>
    <row r="1823" ht="12.75">
      <c r="E1823" s="280"/>
    </row>
    <row r="1824" ht="12.75">
      <c r="E1824" s="280"/>
    </row>
    <row r="1825" ht="12.75">
      <c r="E1825" s="280"/>
    </row>
    <row r="1826" ht="12.75">
      <c r="E1826" s="280"/>
    </row>
    <row r="1827" ht="12.75">
      <c r="E1827" s="280"/>
    </row>
    <row r="1828" ht="12.75">
      <c r="E1828" s="280"/>
    </row>
    <row r="1829" ht="12.75">
      <c r="E1829" s="280"/>
    </row>
    <row r="1830" ht="12.75">
      <c r="E1830" s="280"/>
    </row>
    <row r="1831" ht="12.75">
      <c r="E1831" s="280"/>
    </row>
    <row r="1832" ht="12.75">
      <c r="E1832" s="280"/>
    </row>
    <row r="1833" ht="12.75">
      <c r="E1833" s="280"/>
    </row>
    <row r="1834" ht="12.75">
      <c r="E1834" s="280"/>
    </row>
    <row r="1835" ht="12.75">
      <c r="E1835" s="280"/>
    </row>
    <row r="1836" ht="12.75">
      <c r="E1836" s="280"/>
    </row>
    <row r="1837" ht="12.75">
      <c r="E1837" s="280"/>
    </row>
    <row r="1838" ht="12.75">
      <c r="E1838" s="280"/>
    </row>
    <row r="1839" ht="12.75">
      <c r="E1839" s="280"/>
    </row>
    <row r="1840" ht="12.75">
      <c r="E1840" s="280"/>
    </row>
    <row r="1841" ht="12.75">
      <c r="E1841" s="280"/>
    </row>
    <row r="1842" ht="12.75">
      <c r="E1842" s="280"/>
    </row>
    <row r="1843" ht="12.75">
      <c r="E1843" s="280"/>
    </row>
    <row r="1844" ht="12.75">
      <c r="E1844" s="280"/>
    </row>
    <row r="1845" ht="12.75">
      <c r="E1845" s="280"/>
    </row>
    <row r="1846" ht="12.75">
      <c r="E1846" s="280"/>
    </row>
    <row r="1847" ht="12.75">
      <c r="E1847" s="280"/>
    </row>
    <row r="1848" ht="12.75">
      <c r="E1848" s="280"/>
    </row>
    <row r="1849" ht="12.75">
      <c r="E1849" s="280"/>
    </row>
    <row r="1850" ht="12.75">
      <c r="E1850" s="280"/>
    </row>
    <row r="1851" ht="12.75">
      <c r="E1851" s="280"/>
    </row>
    <row r="1852" ht="12.75">
      <c r="E1852" s="280"/>
    </row>
    <row r="1853" ht="12.75">
      <c r="E1853" s="280"/>
    </row>
    <row r="1854" ht="12.75">
      <c r="E1854" s="280"/>
    </row>
    <row r="1855" ht="12.75">
      <c r="E1855" s="280"/>
    </row>
    <row r="1856" ht="12.75">
      <c r="E1856" s="280"/>
    </row>
    <row r="1857" ht="12.75">
      <c r="E1857" s="280"/>
    </row>
    <row r="1858" ht="12.75">
      <c r="E1858" s="280"/>
    </row>
    <row r="1859" ht="12.75">
      <c r="E1859" s="280"/>
    </row>
    <row r="1860" ht="12.75">
      <c r="E1860" s="280"/>
    </row>
    <row r="1861" ht="12.75">
      <c r="E1861" s="280"/>
    </row>
    <row r="1862" ht="12.75">
      <c r="E1862" s="280"/>
    </row>
    <row r="1863" ht="12.75">
      <c r="E1863" s="280"/>
    </row>
    <row r="1864" ht="12.75">
      <c r="E1864" s="280"/>
    </row>
    <row r="1865" ht="12.75">
      <c r="E1865" s="280"/>
    </row>
    <row r="1866" ht="12.75">
      <c r="E1866" s="280"/>
    </row>
    <row r="1867" ht="12.75">
      <c r="E1867" s="280"/>
    </row>
    <row r="1868" ht="12.75">
      <c r="E1868" s="280"/>
    </row>
    <row r="1869" ht="12.75">
      <c r="E1869" s="280"/>
    </row>
    <row r="1870" ht="12.75">
      <c r="E1870" s="280"/>
    </row>
    <row r="1871" ht="12.75">
      <c r="E1871" s="280"/>
    </row>
    <row r="1872" ht="12.75">
      <c r="E1872" s="280"/>
    </row>
    <row r="1873" ht="12.75">
      <c r="E1873" s="280"/>
    </row>
    <row r="1874" ht="12.75">
      <c r="E1874" s="280"/>
    </row>
    <row r="1875" ht="12.75">
      <c r="E1875" s="280"/>
    </row>
    <row r="1876" ht="12.75">
      <c r="E1876" s="280"/>
    </row>
    <row r="1877" ht="12.75">
      <c r="E1877" s="280"/>
    </row>
    <row r="1878" ht="12.75">
      <c r="E1878" s="280"/>
    </row>
    <row r="1879" ht="12.75">
      <c r="E1879" s="280"/>
    </row>
    <row r="1880" ht="12.75">
      <c r="E1880" s="280"/>
    </row>
    <row r="1881" ht="12.75">
      <c r="E1881" s="280"/>
    </row>
    <row r="1882" ht="12.75">
      <c r="E1882" s="280"/>
    </row>
    <row r="1883" ht="12.75">
      <c r="E1883" s="280"/>
    </row>
    <row r="1884" ht="12.75">
      <c r="E1884" s="280"/>
    </row>
    <row r="1885" ht="12.75">
      <c r="E1885" s="280"/>
    </row>
    <row r="1886" ht="12.75">
      <c r="E1886" s="280"/>
    </row>
    <row r="1887" ht="12.75">
      <c r="E1887" s="280"/>
    </row>
    <row r="1888" ht="12.75">
      <c r="E1888" s="280"/>
    </row>
    <row r="1889" ht="12.75">
      <c r="E1889" s="280"/>
    </row>
    <row r="1890" ht="12.75">
      <c r="E1890" s="280"/>
    </row>
    <row r="1891" ht="12.75">
      <c r="E1891" s="280"/>
    </row>
    <row r="1892" ht="12.75">
      <c r="E1892" s="280"/>
    </row>
    <row r="1893" ht="12.75">
      <c r="E1893" s="280"/>
    </row>
    <row r="1894" ht="12.75">
      <c r="E1894" s="280"/>
    </row>
    <row r="1895" ht="12.75">
      <c r="E1895" s="280"/>
    </row>
    <row r="1896" ht="12.75">
      <c r="E1896" s="280"/>
    </row>
    <row r="1897" ht="12.75">
      <c r="E1897" s="280"/>
    </row>
    <row r="1898" ht="12.75">
      <c r="E1898" s="280"/>
    </row>
    <row r="1899" ht="12.75">
      <c r="E1899" s="280"/>
    </row>
    <row r="1900" ht="12.75">
      <c r="E1900" s="280"/>
    </row>
    <row r="1901" ht="12.75">
      <c r="E1901" s="280"/>
    </row>
    <row r="1902" ht="12.75">
      <c r="E1902" s="280"/>
    </row>
    <row r="1903" ht="12.75">
      <c r="E1903" s="280"/>
    </row>
    <row r="1904" ht="12.75">
      <c r="E1904" s="280"/>
    </row>
    <row r="1905" ht="12.75">
      <c r="E1905" s="280"/>
    </row>
    <row r="1906" ht="12.75">
      <c r="E1906" s="280"/>
    </row>
    <row r="1907" ht="12.75">
      <c r="E1907" s="280"/>
    </row>
    <row r="1908" ht="12.75">
      <c r="E1908" s="280"/>
    </row>
    <row r="1909" ht="12.75">
      <c r="E1909" s="280"/>
    </row>
    <row r="1910" ht="12.75">
      <c r="E1910" s="280"/>
    </row>
    <row r="1911" ht="12.75">
      <c r="E1911" s="280"/>
    </row>
    <row r="1912" ht="12.75">
      <c r="E1912" s="280"/>
    </row>
    <row r="1913" ht="12.75">
      <c r="E1913" s="280"/>
    </row>
    <row r="1914" ht="12.75">
      <c r="E1914" s="280"/>
    </row>
    <row r="1915" ht="12.75">
      <c r="E1915" s="280"/>
    </row>
    <row r="1916" ht="12.75">
      <c r="E1916" s="280"/>
    </row>
    <row r="1917" ht="12.75">
      <c r="E1917" s="280"/>
    </row>
    <row r="1918" ht="12.75">
      <c r="E1918" s="280"/>
    </row>
    <row r="1919" ht="12.75">
      <c r="E1919" s="280"/>
    </row>
    <row r="1920" ht="12.75">
      <c r="E1920" s="280"/>
    </row>
    <row r="1921" ht="12.75">
      <c r="E1921" s="280"/>
    </row>
    <row r="1922" ht="12.75">
      <c r="E1922" s="280"/>
    </row>
    <row r="1923" ht="12.75">
      <c r="E1923" s="280"/>
    </row>
    <row r="1924" ht="12.75">
      <c r="E1924" s="280"/>
    </row>
    <row r="1925" ht="12.75">
      <c r="E1925" s="280"/>
    </row>
    <row r="1926" ht="12.75">
      <c r="E1926" s="280"/>
    </row>
    <row r="1927" ht="12.75">
      <c r="E1927" s="280"/>
    </row>
    <row r="1928" ht="12.75">
      <c r="E1928" s="280"/>
    </row>
    <row r="1929" ht="12.75">
      <c r="E1929" s="280"/>
    </row>
    <row r="1930" ht="12.75">
      <c r="E1930" s="280"/>
    </row>
    <row r="1931" ht="12.75">
      <c r="E1931" s="280"/>
    </row>
    <row r="1932" ht="12.75">
      <c r="E1932" s="280"/>
    </row>
    <row r="1933" ht="12.75">
      <c r="E1933" s="280"/>
    </row>
    <row r="1934" ht="12.75">
      <c r="E1934" s="280"/>
    </row>
    <row r="1935" ht="12.75">
      <c r="E1935" s="280"/>
    </row>
    <row r="1936" ht="12.75">
      <c r="E1936" s="280"/>
    </row>
    <row r="1937" ht="12.75">
      <c r="E1937" s="280"/>
    </row>
    <row r="1938" ht="12.75">
      <c r="E1938" s="280"/>
    </row>
    <row r="1939" ht="12.75">
      <c r="E1939" s="280"/>
    </row>
    <row r="1940" ht="12.75">
      <c r="E1940" s="280"/>
    </row>
    <row r="1941" ht="12.75">
      <c r="E1941" s="280"/>
    </row>
    <row r="1942" ht="12.75">
      <c r="E1942" s="280"/>
    </row>
    <row r="1943" ht="12.75">
      <c r="E1943" s="280"/>
    </row>
    <row r="1944" ht="12.75">
      <c r="E1944" s="280"/>
    </row>
    <row r="1945" ht="12.75">
      <c r="E1945" s="280"/>
    </row>
    <row r="1946" ht="12.75">
      <c r="E1946" s="280"/>
    </row>
    <row r="1947" ht="12.75">
      <c r="E1947" s="280"/>
    </row>
    <row r="1948" ht="12.75">
      <c r="E1948" s="280"/>
    </row>
    <row r="1949" ht="12.75">
      <c r="E1949" s="280"/>
    </row>
    <row r="1950" ht="12.75">
      <c r="E1950" s="280"/>
    </row>
    <row r="1951" ht="12.75">
      <c r="E1951" s="280"/>
    </row>
    <row r="1952" ht="12.75">
      <c r="E1952" s="280"/>
    </row>
    <row r="1953" ht="12.75">
      <c r="E1953" s="280"/>
    </row>
    <row r="1954" ht="12.75">
      <c r="E1954" s="280"/>
    </row>
    <row r="1955" ht="12.75">
      <c r="E1955" s="280"/>
    </row>
    <row r="1956" ht="12.75">
      <c r="E1956" s="280"/>
    </row>
    <row r="1957" ht="12.75">
      <c r="E1957" s="280"/>
    </row>
    <row r="1958" ht="12.75">
      <c r="E1958" s="280"/>
    </row>
    <row r="1959" ht="12.75">
      <c r="E1959" s="280"/>
    </row>
    <row r="1960" ht="12.75">
      <c r="E1960" s="280"/>
    </row>
    <row r="1961" ht="12.75">
      <c r="E1961" s="280"/>
    </row>
    <row r="1962" ht="12.75">
      <c r="E1962" s="280"/>
    </row>
    <row r="1963" ht="12.75">
      <c r="E1963" s="280"/>
    </row>
    <row r="1964" ht="12.75">
      <c r="E1964" s="280"/>
    </row>
    <row r="1965" ht="12.75">
      <c r="E1965" s="280"/>
    </row>
    <row r="1966" ht="12.75">
      <c r="E1966" s="280"/>
    </row>
    <row r="1967" ht="12.75">
      <c r="E1967" s="280"/>
    </row>
    <row r="1968" ht="12.75">
      <c r="E1968" s="280"/>
    </row>
    <row r="1969" ht="12.75">
      <c r="E1969" s="280"/>
    </row>
    <row r="1970" ht="12.75">
      <c r="E1970" s="280"/>
    </row>
    <row r="1971" ht="12.75">
      <c r="E1971" s="280"/>
    </row>
    <row r="1972" ht="12.75">
      <c r="E1972" s="280"/>
    </row>
    <row r="1973" ht="12.75">
      <c r="E1973" s="280"/>
    </row>
    <row r="1974" ht="12.75">
      <c r="E1974" s="280"/>
    </row>
    <row r="1975" ht="12.75">
      <c r="E1975" s="280"/>
    </row>
    <row r="1976" ht="12.75">
      <c r="E1976" s="280"/>
    </row>
    <row r="1977" ht="12.75">
      <c r="E1977" s="280"/>
    </row>
    <row r="1978" ht="12.75">
      <c r="E1978" s="280"/>
    </row>
    <row r="1979" ht="12.75">
      <c r="E1979" s="280"/>
    </row>
    <row r="1980" ht="12.75">
      <c r="E1980" s="280"/>
    </row>
    <row r="1981" ht="12.75">
      <c r="E1981" s="280"/>
    </row>
    <row r="1982" ht="12.75">
      <c r="E1982" s="280"/>
    </row>
    <row r="1983" ht="12.75">
      <c r="E1983" s="280"/>
    </row>
    <row r="1984" ht="12.75">
      <c r="E1984" s="280"/>
    </row>
    <row r="1985" ht="12.75">
      <c r="E1985" s="280"/>
    </row>
    <row r="1986" ht="12.75">
      <c r="E1986" s="280"/>
    </row>
    <row r="1987" ht="12.75">
      <c r="E1987" s="280"/>
    </row>
    <row r="1988" ht="12.75">
      <c r="E1988" s="280"/>
    </row>
    <row r="1989" ht="12.75">
      <c r="E1989" s="280"/>
    </row>
    <row r="1990" ht="12.75">
      <c r="E1990" s="280"/>
    </row>
    <row r="1991" ht="12.75">
      <c r="E1991" s="280"/>
    </row>
    <row r="1992" ht="12.75">
      <c r="E1992" s="280"/>
    </row>
    <row r="1993" ht="12.75">
      <c r="E1993" s="280"/>
    </row>
    <row r="1994" ht="12.75">
      <c r="E1994" s="280"/>
    </row>
    <row r="1995" ht="12.75">
      <c r="E1995" s="280"/>
    </row>
    <row r="1996" ht="12.75">
      <c r="E1996" s="280"/>
    </row>
    <row r="1997" ht="12.75">
      <c r="E1997" s="280"/>
    </row>
    <row r="1998" ht="12.75">
      <c r="E1998" s="280"/>
    </row>
    <row r="1999" ht="12.75">
      <c r="E1999" s="280"/>
    </row>
    <row r="2000" ht="12.75">
      <c r="E2000" s="280"/>
    </row>
    <row r="2001" ht="12.75">
      <c r="E2001" s="280"/>
    </row>
    <row r="2002" ht="12.75">
      <c r="E2002" s="280"/>
    </row>
    <row r="2003" ht="12.75">
      <c r="E2003" s="280"/>
    </row>
    <row r="2004" ht="12.75">
      <c r="E2004" s="280"/>
    </row>
    <row r="2005" ht="12.75">
      <c r="E2005" s="280"/>
    </row>
    <row r="2006" ht="12.75">
      <c r="E2006" s="280"/>
    </row>
    <row r="2007" ht="12.75">
      <c r="E2007" s="280"/>
    </row>
    <row r="2008" ht="12.75">
      <c r="E2008" s="280"/>
    </row>
    <row r="2009" ht="12.75">
      <c r="E2009" s="280"/>
    </row>
    <row r="2010" ht="12.75">
      <c r="E2010" s="280"/>
    </row>
    <row r="2011" ht="12.75">
      <c r="E2011" s="280"/>
    </row>
    <row r="2012" ht="12.75">
      <c r="E2012" s="280"/>
    </row>
    <row r="2013" ht="12.75">
      <c r="E2013" s="280"/>
    </row>
    <row r="2014" ht="12.75">
      <c r="E2014" s="280"/>
    </row>
    <row r="2015" ht="12.75">
      <c r="E2015" s="280"/>
    </row>
    <row r="2016" ht="12.75">
      <c r="E2016" s="280"/>
    </row>
    <row r="2017" ht="12.75">
      <c r="E2017" s="280"/>
    </row>
    <row r="2018" ht="12.75">
      <c r="E2018" s="280"/>
    </row>
    <row r="2019" ht="12.75">
      <c r="E2019" s="280"/>
    </row>
    <row r="2020" ht="12.75">
      <c r="E2020" s="280"/>
    </row>
    <row r="2021" ht="12.75">
      <c r="E2021" s="280"/>
    </row>
    <row r="2022" ht="12.75">
      <c r="E2022" s="280"/>
    </row>
    <row r="2023" ht="12.75">
      <c r="E2023" s="280"/>
    </row>
    <row r="2024" ht="12.75">
      <c r="E2024" s="280"/>
    </row>
    <row r="2025" ht="12.75">
      <c r="E2025" s="280"/>
    </row>
    <row r="2026" ht="12.75">
      <c r="E2026" s="280"/>
    </row>
    <row r="2027" ht="12.75">
      <c r="E2027" s="280"/>
    </row>
    <row r="2028" ht="12.75">
      <c r="E2028" s="280"/>
    </row>
    <row r="2029" ht="12.75">
      <c r="E2029" s="280"/>
    </row>
    <row r="2030" ht="12.75">
      <c r="E2030" s="280"/>
    </row>
    <row r="2031" ht="12.75">
      <c r="E2031" s="280"/>
    </row>
    <row r="2032" ht="12.75">
      <c r="E2032" s="280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B2:IV78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.7109375" style="1" customWidth="1"/>
    <col min="3" max="3" width="49.7109375" style="1" customWidth="1"/>
    <col min="4" max="6" width="11.421875" style="1" customWidth="1"/>
    <col min="7" max="7" width="13.7109375" style="1" customWidth="1"/>
    <col min="8" max="16384" width="11.421875" style="1" customWidth="1"/>
  </cols>
  <sheetData>
    <row r="1" ht="18" customHeight="1"/>
    <row r="2" spans="2:7" ht="12.75">
      <c r="B2" s="82"/>
      <c r="C2" s="3" t="s">
        <v>89</v>
      </c>
      <c r="D2" s="82"/>
      <c r="E2" s="83"/>
      <c r="F2" s="83"/>
      <c r="G2" s="83"/>
    </row>
    <row r="3" spans="2:7" ht="12.75">
      <c r="B3" s="200"/>
      <c r="C3" s="98"/>
      <c r="D3" s="200"/>
      <c r="E3" s="201"/>
      <c r="F3" s="201"/>
      <c r="G3" s="201"/>
    </row>
    <row r="4" spans="2:7" ht="12.75">
      <c r="B4" s="21" t="s">
        <v>126</v>
      </c>
      <c r="D4" s="6"/>
      <c r="E4" s="6"/>
      <c r="F4" s="6"/>
      <c r="G4" s="84"/>
    </row>
    <row r="5" spans="2:7" ht="12.75">
      <c r="B5" s="6"/>
      <c r="C5" s="6" t="s">
        <v>90</v>
      </c>
      <c r="D5" s="42">
        <v>0.1</v>
      </c>
      <c r="E5" s="6" t="s">
        <v>125</v>
      </c>
      <c r="F5" s="6"/>
      <c r="G5" s="84"/>
    </row>
    <row r="6" spans="2:7" ht="12.75">
      <c r="B6" s="6"/>
      <c r="C6" s="6"/>
      <c r="D6" s="6"/>
      <c r="E6" s="6"/>
      <c r="F6" s="6"/>
      <c r="G6" s="84"/>
    </row>
    <row r="7" spans="2:7" ht="12.75">
      <c r="B7" s="21" t="s">
        <v>124</v>
      </c>
      <c r="D7" s="6"/>
      <c r="E7" s="6"/>
      <c r="F7" s="6"/>
      <c r="G7" s="84"/>
    </row>
    <row r="8" spans="2:7" ht="12.75">
      <c r="B8" s="6"/>
      <c r="C8" s="6" t="s">
        <v>90</v>
      </c>
      <c r="D8" s="42">
        <v>0.08</v>
      </c>
      <c r="E8" s="6" t="s">
        <v>125</v>
      </c>
      <c r="F8" s="6"/>
      <c r="G8" s="84"/>
    </row>
    <row r="10" spans="2:7" ht="12.75">
      <c r="B10" s="99" t="s">
        <v>135</v>
      </c>
      <c r="D10" s="2"/>
      <c r="E10" s="2"/>
      <c r="F10" s="2"/>
      <c r="G10" s="2"/>
    </row>
    <row r="11" spans="2:7" ht="12.75">
      <c r="B11" s="6"/>
      <c r="C11" s="6" t="s">
        <v>133</v>
      </c>
      <c r="D11" s="194">
        <v>0.75</v>
      </c>
      <c r="E11" s="2"/>
      <c r="G11" s="6"/>
    </row>
    <row r="12" spans="2:7" ht="12.75">
      <c r="B12" s="6"/>
      <c r="C12" s="6" t="s">
        <v>134</v>
      </c>
      <c r="D12" s="243">
        <f>1-D11</f>
        <v>0.25</v>
      </c>
      <c r="E12" s="2"/>
      <c r="G12" s="6"/>
    </row>
    <row r="13" spans="2:7" ht="12.75">
      <c r="B13" s="6"/>
      <c r="C13" s="6"/>
      <c r="D13" s="2"/>
      <c r="E13" s="2"/>
      <c r="F13" s="97"/>
      <c r="G13" s="6"/>
    </row>
    <row r="14" spans="2:7" ht="12.75">
      <c r="B14" s="21" t="s">
        <v>281</v>
      </c>
      <c r="D14" s="6"/>
      <c r="E14" s="6"/>
      <c r="F14" s="6"/>
      <c r="G14" s="6"/>
    </row>
    <row r="15" spans="2:7" ht="12.75">
      <c r="B15" s="6"/>
      <c r="C15" s="6" t="s">
        <v>93</v>
      </c>
      <c r="D15" s="6">
        <v>63</v>
      </c>
      <c r="E15" s="6"/>
      <c r="F15" s="189"/>
      <c r="G15" s="6"/>
    </row>
    <row r="16" spans="2:7" ht="12.75">
      <c r="B16" s="6"/>
      <c r="C16" s="29" t="s">
        <v>96</v>
      </c>
      <c r="D16" s="73">
        <v>3</v>
      </c>
      <c r="E16" s="6" t="s">
        <v>97</v>
      </c>
      <c r="F16" s="6"/>
      <c r="G16" s="6"/>
    </row>
    <row r="17" spans="2:7" ht="12.75">
      <c r="B17" s="6"/>
      <c r="C17" s="86" t="s">
        <v>91</v>
      </c>
      <c r="D17" s="42">
        <f>3.3</f>
        <v>3.3</v>
      </c>
      <c r="E17" s="6" t="s">
        <v>92</v>
      </c>
      <c r="F17" s="78"/>
      <c r="G17" s="6"/>
    </row>
    <row r="18" spans="3:256" ht="12.75">
      <c r="C18" s="2" t="s">
        <v>267</v>
      </c>
      <c r="D18" s="2">
        <v>0</v>
      </c>
      <c r="E18" s="2" t="s">
        <v>56</v>
      </c>
      <c r="F18" s="2"/>
      <c r="G18" s="99"/>
      <c r="K18" s="2"/>
      <c r="L18" s="2"/>
      <c r="M18" s="2"/>
      <c r="N18" s="2"/>
      <c r="O18" s="2">
        <v>0</v>
      </c>
      <c r="P18" s="2" t="s">
        <v>56</v>
      </c>
      <c r="Q18" s="2" t="s">
        <v>55</v>
      </c>
      <c r="R18" s="99"/>
      <c r="S18" s="2"/>
      <c r="T18" s="2"/>
      <c r="U18" s="2"/>
      <c r="V18" s="2"/>
      <c r="W18" s="2">
        <v>0</v>
      </c>
      <c r="X18" s="2" t="s">
        <v>56</v>
      </c>
      <c r="Y18" s="2" t="s">
        <v>55</v>
      </c>
      <c r="Z18" s="99"/>
      <c r="AA18" s="2"/>
      <c r="AB18" s="2"/>
      <c r="AC18" s="2"/>
      <c r="AD18" s="2"/>
      <c r="AE18" s="2">
        <v>0</v>
      </c>
      <c r="AF18" s="2" t="s">
        <v>56</v>
      </c>
      <c r="AG18" s="2" t="s">
        <v>55</v>
      </c>
      <c r="AH18" s="99"/>
      <c r="AI18" s="2"/>
      <c r="AJ18" s="2"/>
      <c r="AK18" s="2"/>
      <c r="AL18" s="2"/>
      <c r="AM18" s="2">
        <v>0</v>
      </c>
      <c r="AN18" s="2" t="s">
        <v>56</v>
      </c>
      <c r="AO18" s="2" t="s">
        <v>55</v>
      </c>
      <c r="AP18" s="99"/>
      <c r="AQ18" s="2"/>
      <c r="AR18" s="2"/>
      <c r="AS18" s="2"/>
      <c r="AT18" s="2"/>
      <c r="AU18" s="2">
        <v>0</v>
      </c>
      <c r="AV18" s="2" t="s">
        <v>56</v>
      </c>
      <c r="AW18" s="2" t="s">
        <v>55</v>
      </c>
      <c r="AX18" s="99"/>
      <c r="AY18" s="2"/>
      <c r="AZ18" s="2"/>
      <c r="BA18" s="2"/>
      <c r="BB18" s="2"/>
      <c r="BC18" s="2">
        <v>0</v>
      </c>
      <c r="BD18" s="2" t="s">
        <v>56</v>
      </c>
      <c r="BE18" s="2" t="s">
        <v>55</v>
      </c>
      <c r="BF18" s="99"/>
      <c r="BG18" s="2"/>
      <c r="BH18" s="2"/>
      <c r="BI18" s="2"/>
      <c r="BJ18" s="2"/>
      <c r="BK18" s="2">
        <v>0</v>
      </c>
      <c r="BL18" s="2" t="s">
        <v>56</v>
      </c>
      <c r="BM18" s="2" t="s">
        <v>55</v>
      </c>
      <c r="BN18" s="99"/>
      <c r="BO18" s="2"/>
      <c r="BP18" s="2"/>
      <c r="BQ18" s="2"/>
      <c r="BR18" s="2"/>
      <c r="BS18" s="2">
        <v>0</v>
      </c>
      <c r="BT18" s="2" t="s">
        <v>56</v>
      </c>
      <c r="BU18" s="2" t="s">
        <v>55</v>
      </c>
      <c r="BV18" s="99"/>
      <c r="BW18" s="2"/>
      <c r="BX18" s="2"/>
      <c r="BY18" s="2"/>
      <c r="BZ18" s="2"/>
      <c r="CA18" s="2">
        <v>0</v>
      </c>
      <c r="CB18" s="2" t="s">
        <v>56</v>
      </c>
      <c r="CC18" s="2" t="s">
        <v>55</v>
      </c>
      <c r="CD18" s="99"/>
      <c r="CE18" s="2"/>
      <c r="CF18" s="2"/>
      <c r="CG18" s="2"/>
      <c r="CH18" s="2"/>
      <c r="CI18" s="2">
        <v>0</v>
      </c>
      <c r="CJ18" s="2" t="s">
        <v>56</v>
      </c>
      <c r="CK18" s="2" t="s">
        <v>55</v>
      </c>
      <c r="CL18" s="99"/>
      <c r="CM18" s="2"/>
      <c r="CN18" s="2"/>
      <c r="CO18" s="2"/>
      <c r="CP18" s="2"/>
      <c r="CQ18" s="2">
        <v>0</v>
      </c>
      <c r="CR18" s="2" t="s">
        <v>56</v>
      </c>
      <c r="CS18" s="2" t="s">
        <v>55</v>
      </c>
      <c r="CT18" s="99"/>
      <c r="CU18" s="2"/>
      <c r="CV18" s="2"/>
      <c r="CW18" s="2"/>
      <c r="CX18" s="2"/>
      <c r="CY18" s="2">
        <v>0</v>
      </c>
      <c r="CZ18" s="2" t="s">
        <v>56</v>
      </c>
      <c r="DA18" s="2" t="s">
        <v>55</v>
      </c>
      <c r="DB18" s="99"/>
      <c r="DC18" s="2"/>
      <c r="DD18" s="2"/>
      <c r="DE18" s="2"/>
      <c r="DF18" s="2"/>
      <c r="DG18" s="2">
        <v>0</v>
      </c>
      <c r="DH18" s="2" t="s">
        <v>56</v>
      </c>
      <c r="DI18" s="2" t="s">
        <v>55</v>
      </c>
      <c r="DJ18" s="99"/>
      <c r="DK18" s="2"/>
      <c r="DL18" s="2"/>
      <c r="DM18" s="2"/>
      <c r="DN18" s="2"/>
      <c r="DO18" s="2">
        <v>0</v>
      </c>
      <c r="DP18" s="2" t="s">
        <v>56</v>
      </c>
      <c r="DQ18" s="2" t="s">
        <v>55</v>
      </c>
      <c r="DR18" s="99"/>
      <c r="DS18" s="2"/>
      <c r="DT18" s="2"/>
      <c r="DU18" s="2"/>
      <c r="DV18" s="2"/>
      <c r="DW18" s="2">
        <v>0</v>
      </c>
      <c r="DX18" s="2" t="s">
        <v>56</v>
      </c>
      <c r="DY18" s="2" t="s">
        <v>55</v>
      </c>
      <c r="DZ18" s="99"/>
      <c r="EA18" s="2"/>
      <c r="EB18" s="2"/>
      <c r="EC18" s="2"/>
      <c r="ED18" s="2"/>
      <c r="EE18" s="2">
        <v>0</v>
      </c>
      <c r="EF18" s="2" t="s">
        <v>56</v>
      </c>
      <c r="EG18" s="2" t="s">
        <v>55</v>
      </c>
      <c r="EH18" s="99"/>
      <c r="EI18" s="2"/>
      <c r="EJ18" s="2"/>
      <c r="EK18" s="2"/>
      <c r="EL18" s="2"/>
      <c r="EM18" s="2">
        <v>0</v>
      </c>
      <c r="EN18" s="2" t="s">
        <v>56</v>
      </c>
      <c r="EO18" s="2" t="s">
        <v>55</v>
      </c>
      <c r="EP18" s="99"/>
      <c r="EQ18" s="2"/>
      <c r="ER18" s="2"/>
      <c r="ES18" s="2"/>
      <c r="ET18" s="2"/>
      <c r="EU18" s="2">
        <v>0</v>
      </c>
      <c r="EV18" s="2" t="s">
        <v>56</v>
      </c>
      <c r="EW18" s="2" t="s">
        <v>55</v>
      </c>
      <c r="EX18" s="99"/>
      <c r="EY18" s="2"/>
      <c r="EZ18" s="2"/>
      <c r="FA18" s="2"/>
      <c r="FB18" s="2"/>
      <c r="FC18" s="2">
        <v>0</v>
      </c>
      <c r="FD18" s="2" t="s">
        <v>56</v>
      </c>
      <c r="FE18" s="2" t="s">
        <v>55</v>
      </c>
      <c r="FF18" s="99"/>
      <c r="FG18" s="2"/>
      <c r="FH18" s="2"/>
      <c r="FI18" s="2"/>
      <c r="FJ18" s="2"/>
      <c r="FK18" s="2">
        <v>0</v>
      </c>
      <c r="FL18" s="2" t="s">
        <v>56</v>
      </c>
      <c r="FM18" s="2" t="s">
        <v>55</v>
      </c>
      <c r="FN18" s="99"/>
      <c r="FO18" s="2"/>
      <c r="FP18" s="2"/>
      <c r="FQ18" s="2"/>
      <c r="FR18" s="2"/>
      <c r="FS18" s="2">
        <v>0</v>
      </c>
      <c r="FT18" s="2" t="s">
        <v>56</v>
      </c>
      <c r="FU18" s="2" t="s">
        <v>55</v>
      </c>
      <c r="FV18" s="99"/>
      <c r="FW18" s="2"/>
      <c r="FX18" s="2"/>
      <c r="FY18" s="2"/>
      <c r="FZ18" s="2"/>
      <c r="GA18" s="2">
        <v>0</v>
      </c>
      <c r="GB18" s="2" t="s">
        <v>56</v>
      </c>
      <c r="GC18" s="2" t="s">
        <v>55</v>
      </c>
      <c r="GD18" s="99"/>
      <c r="GE18" s="2"/>
      <c r="GF18" s="2"/>
      <c r="GG18" s="2"/>
      <c r="GH18" s="2"/>
      <c r="GI18" s="2">
        <v>0</v>
      </c>
      <c r="GJ18" s="2" t="s">
        <v>56</v>
      </c>
      <c r="GK18" s="2" t="s">
        <v>55</v>
      </c>
      <c r="GL18" s="99"/>
      <c r="GM18" s="2"/>
      <c r="GN18" s="2"/>
      <c r="GO18" s="2"/>
      <c r="GP18" s="2"/>
      <c r="GQ18" s="2">
        <v>0</v>
      </c>
      <c r="GR18" s="2" t="s">
        <v>56</v>
      </c>
      <c r="GS18" s="2" t="s">
        <v>55</v>
      </c>
      <c r="GT18" s="99"/>
      <c r="GU18" s="2"/>
      <c r="GV18" s="2"/>
      <c r="GW18" s="2"/>
      <c r="GX18" s="2"/>
      <c r="GY18" s="2">
        <v>0</v>
      </c>
      <c r="GZ18" s="2" t="s">
        <v>56</v>
      </c>
      <c r="HA18" s="2" t="s">
        <v>55</v>
      </c>
      <c r="HB18" s="99"/>
      <c r="HC18" s="2"/>
      <c r="HD18" s="2"/>
      <c r="HE18" s="2"/>
      <c r="HF18" s="2"/>
      <c r="HG18" s="2">
        <v>0</v>
      </c>
      <c r="HH18" s="2" t="s">
        <v>56</v>
      </c>
      <c r="HI18" s="2" t="s">
        <v>55</v>
      </c>
      <c r="HJ18" s="99"/>
      <c r="HK18" s="2"/>
      <c r="HL18" s="2"/>
      <c r="HM18" s="2"/>
      <c r="HN18" s="2"/>
      <c r="HO18" s="2">
        <v>0</v>
      </c>
      <c r="HP18" s="2" t="s">
        <v>56</v>
      </c>
      <c r="HQ18" s="2" t="s">
        <v>55</v>
      </c>
      <c r="HR18" s="99"/>
      <c r="HS18" s="2"/>
      <c r="HT18" s="2"/>
      <c r="HU18" s="2"/>
      <c r="HV18" s="2"/>
      <c r="HW18" s="2">
        <v>0</v>
      </c>
      <c r="HX18" s="2" t="s">
        <v>56</v>
      </c>
      <c r="HY18" s="2" t="s">
        <v>55</v>
      </c>
      <c r="HZ18" s="99"/>
      <c r="IA18" s="2"/>
      <c r="IB18" s="2"/>
      <c r="IC18" s="2"/>
      <c r="ID18" s="2"/>
      <c r="IE18" s="2">
        <v>0</v>
      </c>
      <c r="IF18" s="2" t="s">
        <v>56</v>
      </c>
      <c r="IG18" s="2" t="s">
        <v>55</v>
      </c>
      <c r="IH18" s="99"/>
      <c r="II18" s="2"/>
      <c r="IJ18" s="2"/>
      <c r="IK18" s="2"/>
      <c r="IL18" s="2"/>
      <c r="IM18" s="2">
        <v>0</v>
      </c>
      <c r="IN18" s="2" t="s">
        <v>56</v>
      </c>
      <c r="IO18" s="2" t="s">
        <v>55</v>
      </c>
      <c r="IP18" s="99"/>
      <c r="IQ18" s="2"/>
      <c r="IR18" s="2"/>
      <c r="IS18" s="2"/>
      <c r="IT18" s="2"/>
      <c r="IU18" s="2">
        <v>0</v>
      </c>
      <c r="IV18" s="2" t="s">
        <v>56</v>
      </c>
    </row>
    <row r="19" spans="3:256" ht="12.75">
      <c r="C19" s="2" t="s">
        <v>280</v>
      </c>
      <c r="D19" s="159">
        <v>6800</v>
      </c>
      <c r="E19" s="2" t="s">
        <v>62</v>
      </c>
      <c r="F19" s="2"/>
      <c r="G19" s="99"/>
      <c r="K19" s="2"/>
      <c r="L19" s="2"/>
      <c r="M19" s="2"/>
      <c r="N19" s="2"/>
      <c r="O19" s="204">
        <v>6800</v>
      </c>
      <c r="P19" s="2" t="s">
        <v>62</v>
      </c>
      <c r="Q19" s="2" t="s">
        <v>229</v>
      </c>
      <c r="R19" s="99"/>
      <c r="S19" s="2"/>
      <c r="T19" s="2"/>
      <c r="U19" s="2"/>
      <c r="V19" s="2"/>
      <c r="W19" s="204">
        <v>6800</v>
      </c>
      <c r="X19" s="2" t="s">
        <v>62</v>
      </c>
      <c r="Y19" s="2" t="s">
        <v>229</v>
      </c>
      <c r="Z19" s="99"/>
      <c r="AA19" s="2"/>
      <c r="AB19" s="2"/>
      <c r="AC19" s="2"/>
      <c r="AD19" s="2"/>
      <c r="AE19" s="204">
        <v>6800</v>
      </c>
      <c r="AF19" s="2" t="s">
        <v>62</v>
      </c>
      <c r="AG19" s="2" t="s">
        <v>229</v>
      </c>
      <c r="AH19" s="99"/>
      <c r="AI19" s="2"/>
      <c r="AJ19" s="2"/>
      <c r="AK19" s="2"/>
      <c r="AL19" s="2"/>
      <c r="AM19" s="204">
        <v>6800</v>
      </c>
      <c r="AN19" s="2" t="s">
        <v>62</v>
      </c>
      <c r="AO19" s="2" t="s">
        <v>229</v>
      </c>
      <c r="AP19" s="99"/>
      <c r="AQ19" s="2"/>
      <c r="AR19" s="2"/>
      <c r="AS19" s="2"/>
      <c r="AT19" s="2"/>
      <c r="AU19" s="204">
        <v>6800</v>
      </c>
      <c r="AV19" s="2" t="s">
        <v>62</v>
      </c>
      <c r="AW19" s="2" t="s">
        <v>229</v>
      </c>
      <c r="AX19" s="99"/>
      <c r="AY19" s="2"/>
      <c r="AZ19" s="2"/>
      <c r="BA19" s="2"/>
      <c r="BB19" s="2"/>
      <c r="BC19" s="204">
        <v>6800</v>
      </c>
      <c r="BD19" s="2" t="s">
        <v>62</v>
      </c>
      <c r="BE19" s="2" t="s">
        <v>229</v>
      </c>
      <c r="BF19" s="99"/>
      <c r="BG19" s="2"/>
      <c r="BH19" s="2"/>
      <c r="BI19" s="2"/>
      <c r="BJ19" s="2"/>
      <c r="BK19" s="204">
        <v>6800</v>
      </c>
      <c r="BL19" s="2" t="s">
        <v>62</v>
      </c>
      <c r="BM19" s="2" t="s">
        <v>229</v>
      </c>
      <c r="BN19" s="99"/>
      <c r="BO19" s="2"/>
      <c r="BP19" s="2"/>
      <c r="BQ19" s="2"/>
      <c r="BR19" s="2"/>
      <c r="BS19" s="204">
        <v>6800</v>
      </c>
      <c r="BT19" s="2" t="s">
        <v>62</v>
      </c>
      <c r="BU19" s="2" t="s">
        <v>229</v>
      </c>
      <c r="BV19" s="99"/>
      <c r="BW19" s="2"/>
      <c r="BX19" s="2"/>
      <c r="BY19" s="2"/>
      <c r="BZ19" s="2"/>
      <c r="CA19" s="204">
        <v>6800</v>
      </c>
      <c r="CB19" s="2" t="s">
        <v>62</v>
      </c>
      <c r="CC19" s="2" t="s">
        <v>229</v>
      </c>
      <c r="CD19" s="99"/>
      <c r="CE19" s="2"/>
      <c r="CF19" s="2"/>
      <c r="CG19" s="2"/>
      <c r="CH19" s="2"/>
      <c r="CI19" s="204">
        <v>6800</v>
      </c>
      <c r="CJ19" s="2" t="s">
        <v>62</v>
      </c>
      <c r="CK19" s="2" t="s">
        <v>229</v>
      </c>
      <c r="CL19" s="99"/>
      <c r="CM19" s="2"/>
      <c r="CN19" s="2"/>
      <c r="CO19" s="2"/>
      <c r="CP19" s="2"/>
      <c r="CQ19" s="204">
        <v>6800</v>
      </c>
      <c r="CR19" s="2" t="s">
        <v>62</v>
      </c>
      <c r="CS19" s="2" t="s">
        <v>229</v>
      </c>
      <c r="CT19" s="99"/>
      <c r="CU19" s="2"/>
      <c r="CV19" s="2"/>
      <c r="CW19" s="2"/>
      <c r="CX19" s="2"/>
      <c r="CY19" s="204">
        <v>6800</v>
      </c>
      <c r="CZ19" s="2" t="s">
        <v>62</v>
      </c>
      <c r="DA19" s="2" t="s">
        <v>229</v>
      </c>
      <c r="DB19" s="99"/>
      <c r="DC19" s="2"/>
      <c r="DD19" s="2"/>
      <c r="DE19" s="2"/>
      <c r="DF19" s="2"/>
      <c r="DG19" s="204">
        <v>6800</v>
      </c>
      <c r="DH19" s="2" t="s">
        <v>62</v>
      </c>
      <c r="DI19" s="2" t="s">
        <v>229</v>
      </c>
      <c r="DJ19" s="99"/>
      <c r="DK19" s="2"/>
      <c r="DL19" s="2"/>
      <c r="DM19" s="2"/>
      <c r="DN19" s="2"/>
      <c r="DO19" s="204">
        <v>6800</v>
      </c>
      <c r="DP19" s="2" t="s">
        <v>62</v>
      </c>
      <c r="DQ19" s="2" t="s">
        <v>229</v>
      </c>
      <c r="DR19" s="99"/>
      <c r="DS19" s="2"/>
      <c r="DT19" s="2"/>
      <c r="DU19" s="2"/>
      <c r="DV19" s="2"/>
      <c r="DW19" s="204">
        <v>6800</v>
      </c>
      <c r="DX19" s="2" t="s">
        <v>62</v>
      </c>
      <c r="DY19" s="2" t="s">
        <v>229</v>
      </c>
      <c r="DZ19" s="99"/>
      <c r="EA19" s="2"/>
      <c r="EB19" s="2"/>
      <c r="EC19" s="2"/>
      <c r="ED19" s="2"/>
      <c r="EE19" s="204">
        <v>6800</v>
      </c>
      <c r="EF19" s="2" t="s">
        <v>62</v>
      </c>
      <c r="EG19" s="2" t="s">
        <v>229</v>
      </c>
      <c r="EH19" s="99"/>
      <c r="EI19" s="2"/>
      <c r="EJ19" s="2"/>
      <c r="EK19" s="2"/>
      <c r="EL19" s="2"/>
      <c r="EM19" s="204">
        <v>6800</v>
      </c>
      <c r="EN19" s="2" t="s">
        <v>62</v>
      </c>
      <c r="EO19" s="2" t="s">
        <v>229</v>
      </c>
      <c r="EP19" s="99"/>
      <c r="EQ19" s="2"/>
      <c r="ER19" s="2"/>
      <c r="ES19" s="2"/>
      <c r="ET19" s="2"/>
      <c r="EU19" s="204">
        <v>6800</v>
      </c>
      <c r="EV19" s="2" t="s">
        <v>62</v>
      </c>
      <c r="EW19" s="2" t="s">
        <v>229</v>
      </c>
      <c r="EX19" s="99"/>
      <c r="EY19" s="2"/>
      <c r="EZ19" s="2"/>
      <c r="FA19" s="2"/>
      <c r="FB19" s="2"/>
      <c r="FC19" s="204">
        <v>6800</v>
      </c>
      <c r="FD19" s="2" t="s">
        <v>62</v>
      </c>
      <c r="FE19" s="2" t="s">
        <v>229</v>
      </c>
      <c r="FF19" s="99"/>
      <c r="FG19" s="2"/>
      <c r="FH19" s="2"/>
      <c r="FI19" s="2"/>
      <c r="FJ19" s="2"/>
      <c r="FK19" s="204">
        <v>6800</v>
      </c>
      <c r="FL19" s="2" t="s">
        <v>62</v>
      </c>
      <c r="FM19" s="2" t="s">
        <v>229</v>
      </c>
      <c r="FN19" s="99"/>
      <c r="FO19" s="2"/>
      <c r="FP19" s="2"/>
      <c r="FQ19" s="2"/>
      <c r="FR19" s="2"/>
      <c r="FS19" s="204">
        <v>6800</v>
      </c>
      <c r="FT19" s="2" t="s">
        <v>62</v>
      </c>
      <c r="FU19" s="2" t="s">
        <v>229</v>
      </c>
      <c r="FV19" s="99"/>
      <c r="FW19" s="2"/>
      <c r="FX19" s="2"/>
      <c r="FY19" s="2"/>
      <c r="FZ19" s="2"/>
      <c r="GA19" s="204">
        <v>6800</v>
      </c>
      <c r="GB19" s="2" t="s">
        <v>62</v>
      </c>
      <c r="GC19" s="2" t="s">
        <v>229</v>
      </c>
      <c r="GD19" s="99"/>
      <c r="GE19" s="2"/>
      <c r="GF19" s="2"/>
      <c r="GG19" s="2"/>
      <c r="GH19" s="2"/>
      <c r="GI19" s="204">
        <v>6800</v>
      </c>
      <c r="GJ19" s="2" t="s">
        <v>62</v>
      </c>
      <c r="GK19" s="2" t="s">
        <v>229</v>
      </c>
      <c r="GL19" s="99"/>
      <c r="GM19" s="2"/>
      <c r="GN19" s="2"/>
      <c r="GO19" s="2"/>
      <c r="GP19" s="2"/>
      <c r="GQ19" s="204">
        <v>6800</v>
      </c>
      <c r="GR19" s="2" t="s">
        <v>62</v>
      </c>
      <c r="GS19" s="2" t="s">
        <v>229</v>
      </c>
      <c r="GT19" s="99"/>
      <c r="GU19" s="2"/>
      <c r="GV19" s="2"/>
      <c r="GW19" s="2"/>
      <c r="GX19" s="2"/>
      <c r="GY19" s="204">
        <v>6800</v>
      </c>
      <c r="GZ19" s="2" t="s">
        <v>62</v>
      </c>
      <c r="HA19" s="2" t="s">
        <v>229</v>
      </c>
      <c r="HB19" s="99"/>
      <c r="HC19" s="2"/>
      <c r="HD19" s="2"/>
      <c r="HE19" s="2"/>
      <c r="HF19" s="2"/>
      <c r="HG19" s="204">
        <v>6800</v>
      </c>
      <c r="HH19" s="2" t="s">
        <v>62</v>
      </c>
      <c r="HI19" s="2" t="s">
        <v>229</v>
      </c>
      <c r="HJ19" s="99"/>
      <c r="HK19" s="2"/>
      <c r="HL19" s="2"/>
      <c r="HM19" s="2"/>
      <c r="HN19" s="2"/>
      <c r="HO19" s="204">
        <v>6800</v>
      </c>
      <c r="HP19" s="2" t="s">
        <v>62</v>
      </c>
      <c r="HQ19" s="2" t="s">
        <v>229</v>
      </c>
      <c r="HR19" s="99"/>
      <c r="HS19" s="2"/>
      <c r="HT19" s="2"/>
      <c r="HU19" s="2"/>
      <c r="HV19" s="2"/>
      <c r="HW19" s="204">
        <v>6800</v>
      </c>
      <c r="HX19" s="2" t="s">
        <v>62</v>
      </c>
      <c r="HY19" s="2" t="s">
        <v>229</v>
      </c>
      <c r="HZ19" s="99"/>
      <c r="IA19" s="2"/>
      <c r="IB19" s="2"/>
      <c r="IC19" s="2"/>
      <c r="ID19" s="2"/>
      <c r="IE19" s="204">
        <v>6800</v>
      </c>
      <c r="IF19" s="2" t="s">
        <v>62</v>
      </c>
      <c r="IG19" s="2" t="s">
        <v>229</v>
      </c>
      <c r="IH19" s="99"/>
      <c r="II19" s="2"/>
      <c r="IJ19" s="2"/>
      <c r="IK19" s="2"/>
      <c r="IL19" s="2"/>
      <c r="IM19" s="204">
        <v>6800</v>
      </c>
      <c r="IN19" s="2" t="s">
        <v>62</v>
      </c>
      <c r="IO19" s="2" t="s">
        <v>229</v>
      </c>
      <c r="IP19" s="99"/>
      <c r="IQ19" s="2"/>
      <c r="IR19" s="2"/>
      <c r="IS19" s="2"/>
      <c r="IT19" s="2"/>
      <c r="IU19" s="204">
        <v>6800</v>
      </c>
      <c r="IV19" s="2" t="s">
        <v>62</v>
      </c>
    </row>
    <row r="20" spans="3:256" ht="12.75">
      <c r="C20" s="2" t="s">
        <v>268</v>
      </c>
      <c r="D20" s="2">
        <v>0</v>
      </c>
      <c r="E20" s="2" t="s">
        <v>62</v>
      </c>
      <c r="F20" s="2"/>
      <c r="G20" s="99"/>
      <c r="K20" s="2"/>
      <c r="L20" s="2"/>
      <c r="M20" s="2"/>
      <c r="N20" s="2"/>
      <c r="O20" s="2">
        <v>0</v>
      </c>
      <c r="P20" s="2" t="s">
        <v>62</v>
      </c>
      <c r="Q20" s="2" t="s">
        <v>230</v>
      </c>
      <c r="R20" s="99"/>
      <c r="S20" s="2"/>
      <c r="T20" s="2"/>
      <c r="U20" s="2"/>
      <c r="V20" s="2"/>
      <c r="W20" s="2">
        <v>0</v>
      </c>
      <c r="X20" s="2" t="s">
        <v>62</v>
      </c>
      <c r="Y20" s="2" t="s">
        <v>230</v>
      </c>
      <c r="Z20" s="99"/>
      <c r="AA20" s="2"/>
      <c r="AB20" s="2"/>
      <c r="AC20" s="2"/>
      <c r="AD20" s="2"/>
      <c r="AE20" s="2">
        <v>0</v>
      </c>
      <c r="AF20" s="2" t="s">
        <v>62</v>
      </c>
      <c r="AG20" s="2" t="s">
        <v>230</v>
      </c>
      <c r="AH20" s="99"/>
      <c r="AI20" s="2"/>
      <c r="AJ20" s="2"/>
      <c r="AK20" s="2"/>
      <c r="AL20" s="2"/>
      <c r="AM20" s="2">
        <v>0</v>
      </c>
      <c r="AN20" s="2" t="s">
        <v>62</v>
      </c>
      <c r="AO20" s="2" t="s">
        <v>230</v>
      </c>
      <c r="AP20" s="99"/>
      <c r="AQ20" s="2"/>
      <c r="AR20" s="2"/>
      <c r="AS20" s="2"/>
      <c r="AT20" s="2"/>
      <c r="AU20" s="2">
        <v>0</v>
      </c>
      <c r="AV20" s="2" t="s">
        <v>62</v>
      </c>
      <c r="AW20" s="2" t="s">
        <v>230</v>
      </c>
      <c r="AX20" s="99"/>
      <c r="AY20" s="2"/>
      <c r="AZ20" s="2"/>
      <c r="BA20" s="2"/>
      <c r="BB20" s="2"/>
      <c r="BC20" s="2">
        <v>0</v>
      </c>
      <c r="BD20" s="2" t="s">
        <v>62</v>
      </c>
      <c r="BE20" s="2" t="s">
        <v>230</v>
      </c>
      <c r="BF20" s="99"/>
      <c r="BG20" s="2"/>
      <c r="BH20" s="2"/>
      <c r="BI20" s="2"/>
      <c r="BJ20" s="2"/>
      <c r="BK20" s="2">
        <v>0</v>
      </c>
      <c r="BL20" s="2" t="s">
        <v>62</v>
      </c>
      <c r="BM20" s="2" t="s">
        <v>230</v>
      </c>
      <c r="BN20" s="99"/>
      <c r="BO20" s="2"/>
      <c r="BP20" s="2"/>
      <c r="BQ20" s="2"/>
      <c r="BR20" s="2"/>
      <c r="BS20" s="2">
        <v>0</v>
      </c>
      <c r="BT20" s="2" t="s">
        <v>62</v>
      </c>
      <c r="BU20" s="2" t="s">
        <v>230</v>
      </c>
      <c r="BV20" s="99"/>
      <c r="BW20" s="2"/>
      <c r="BX20" s="2"/>
      <c r="BY20" s="2"/>
      <c r="BZ20" s="2"/>
      <c r="CA20" s="2">
        <v>0</v>
      </c>
      <c r="CB20" s="2" t="s">
        <v>62</v>
      </c>
      <c r="CC20" s="2" t="s">
        <v>230</v>
      </c>
      <c r="CD20" s="99"/>
      <c r="CE20" s="2"/>
      <c r="CF20" s="2"/>
      <c r="CG20" s="2"/>
      <c r="CH20" s="2"/>
      <c r="CI20" s="2">
        <v>0</v>
      </c>
      <c r="CJ20" s="2" t="s">
        <v>62</v>
      </c>
      <c r="CK20" s="2" t="s">
        <v>230</v>
      </c>
      <c r="CL20" s="99"/>
      <c r="CM20" s="2"/>
      <c r="CN20" s="2"/>
      <c r="CO20" s="2"/>
      <c r="CP20" s="2"/>
      <c r="CQ20" s="2">
        <v>0</v>
      </c>
      <c r="CR20" s="2" t="s">
        <v>62</v>
      </c>
      <c r="CS20" s="2" t="s">
        <v>230</v>
      </c>
      <c r="CT20" s="99"/>
      <c r="CU20" s="2"/>
      <c r="CV20" s="2"/>
      <c r="CW20" s="2"/>
      <c r="CX20" s="2"/>
      <c r="CY20" s="2">
        <v>0</v>
      </c>
      <c r="CZ20" s="2" t="s">
        <v>62</v>
      </c>
      <c r="DA20" s="2" t="s">
        <v>230</v>
      </c>
      <c r="DB20" s="99"/>
      <c r="DC20" s="2"/>
      <c r="DD20" s="2"/>
      <c r="DE20" s="2"/>
      <c r="DF20" s="2"/>
      <c r="DG20" s="2">
        <v>0</v>
      </c>
      <c r="DH20" s="2" t="s">
        <v>62</v>
      </c>
      <c r="DI20" s="2" t="s">
        <v>230</v>
      </c>
      <c r="DJ20" s="99"/>
      <c r="DK20" s="2"/>
      <c r="DL20" s="2"/>
      <c r="DM20" s="2"/>
      <c r="DN20" s="2"/>
      <c r="DO20" s="2">
        <v>0</v>
      </c>
      <c r="DP20" s="2" t="s">
        <v>62</v>
      </c>
      <c r="DQ20" s="2" t="s">
        <v>230</v>
      </c>
      <c r="DR20" s="99"/>
      <c r="DS20" s="2"/>
      <c r="DT20" s="2"/>
      <c r="DU20" s="2"/>
      <c r="DV20" s="2"/>
      <c r="DW20" s="2">
        <v>0</v>
      </c>
      <c r="DX20" s="2" t="s">
        <v>62</v>
      </c>
      <c r="DY20" s="2" t="s">
        <v>230</v>
      </c>
      <c r="DZ20" s="99"/>
      <c r="EA20" s="2"/>
      <c r="EB20" s="2"/>
      <c r="EC20" s="2"/>
      <c r="ED20" s="2"/>
      <c r="EE20" s="2">
        <v>0</v>
      </c>
      <c r="EF20" s="2" t="s">
        <v>62</v>
      </c>
      <c r="EG20" s="2" t="s">
        <v>230</v>
      </c>
      <c r="EH20" s="99"/>
      <c r="EI20" s="2"/>
      <c r="EJ20" s="2"/>
      <c r="EK20" s="2"/>
      <c r="EL20" s="2"/>
      <c r="EM20" s="2">
        <v>0</v>
      </c>
      <c r="EN20" s="2" t="s">
        <v>62</v>
      </c>
      <c r="EO20" s="2" t="s">
        <v>230</v>
      </c>
      <c r="EP20" s="99"/>
      <c r="EQ20" s="2"/>
      <c r="ER20" s="2"/>
      <c r="ES20" s="2"/>
      <c r="ET20" s="2"/>
      <c r="EU20" s="2">
        <v>0</v>
      </c>
      <c r="EV20" s="2" t="s">
        <v>62</v>
      </c>
      <c r="EW20" s="2" t="s">
        <v>230</v>
      </c>
      <c r="EX20" s="99"/>
      <c r="EY20" s="2"/>
      <c r="EZ20" s="2"/>
      <c r="FA20" s="2"/>
      <c r="FB20" s="2"/>
      <c r="FC20" s="2">
        <v>0</v>
      </c>
      <c r="FD20" s="2" t="s">
        <v>62</v>
      </c>
      <c r="FE20" s="2" t="s">
        <v>230</v>
      </c>
      <c r="FF20" s="99"/>
      <c r="FG20" s="2"/>
      <c r="FH20" s="2"/>
      <c r="FI20" s="2"/>
      <c r="FJ20" s="2"/>
      <c r="FK20" s="2">
        <v>0</v>
      </c>
      <c r="FL20" s="2" t="s">
        <v>62</v>
      </c>
      <c r="FM20" s="2" t="s">
        <v>230</v>
      </c>
      <c r="FN20" s="99"/>
      <c r="FO20" s="2"/>
      <c r="FP20" s="2"/>
      <c r="FQ20" s="2"/>
      <c r="FR20" s="2"/>
      <c r="FS20" s="2">
        <v>0</v>
      </c>
      <c r="FT20" s="2" t="s">
        <v>62</v>
      </c>
      <c r="FU20" s="2" t="s">
        <v>230</v>
      </c>
      <c r="FV20" s="99"/>
      <c r="FW20" s="2"/>
      <c r="FX20" s="2"/>
      <c r="FY20" s="2"/>
      <c r="FZ20" s="2"/>
      <c r="GA20" s="2">
        <v>0</v>
      </c>
      <c r="GB20" s="2" t="s">
        <v>62</v>
      </c>
      <c r="GC20" s="2" t="s">
        <v>230</v>
      </c>
      <c r="GD20" s="99"/>
      <c r="GE20" s="2"/>
      <c r="GF20" s="2"/>
      <c r="GG20" s="2"/>
      <c r="GH20" s="2"/>
      <c r="GI20" s="2">
        <v>0</v>
      </c>
      <c r="GJ20" s="2" t="s">
        <v>62</v>
      </c>
      <c r="GK20" s="2" t="s">
        <v>230</v>
      </c>
      <c r="GL20" s="99"/>
      <c r="GM20" s="2"/>
      <c r="GN20" s="2"/>
      <c r="GO20" s="2"/>
      <c r="GP20" s="2"/>
      <c r="GQ20" s="2">
        <v>0</v>
      </c>
      <c r="GR20" s="2" t="s">
        <v>62</v>
      </c>
      <c r="GS20" s="2" t="s">
        <v>230</v>
      </c>
      <c r="GT20" s="99"/>
      <c r="GU20" s="2"/>
      <c r="GV20" s="2"/>
      <c r="GW20" s="2"/>
      <c r="GX20" s="2"/>
      <c r="GY20" s="2">
        <v>0</v>
      </c>
      <c r="GZ20" s="2" t="s">
        <v>62</v>
      </c>
      <c r="HA20" s="2" t="s">
        <v>230</v>
      </c>
      <c r="HB20" s="99"/>
      <c r="HC20" s="2"/>
      <c r="HD20" s="2"/>
      <c r="HE20" s="2"/>
      <c r="HF20" s="2"/>
      <c r="HG20" s="2">
        <v>0</v>
      </c>
      <c r="HH20" s="2" t="s">
        <v>62</v>
      </c>
      <c r="HI20" s="2" t="s">
        <v>230</v>
      </c>
      <c r="HJ20" s="99"/>
      <c r="HK20" s="2"/>
      <c r="HL20" s="2"/>
      <c r="HM20" s="2"/>
      <c r="HN20" s="2"/>
      <c r="HO20" s="2">
        <v>0</v>
      </c>
      <c r="HP20" s="2" t="s">
        <v>62</v>
      </c>
      <c r="HQ20" s="2" t="s">
        <v>230</v>
      </c>
      <c r="HR20" s="99"/>
      <c r="HS20" s="2"/>
      <c r="HT20" s="2"/>
      <c r="HU20" s="2"/>
      <c r="HV20" s="2"/>
      <c r="HW20" s="2">
        <v>0</v>
      </c>
      <c r="HX20" s="2" t="s">
        <v>62</v>
      </c>
      <c r="HY20" s="2" t="s">
        <v>230</v>
      </c>
      <c r="HZ20" s="99"/>
      <c r="IA20" s="2"/>
      <c r="IB20" s="2"/>
      <c r="IC20" s="2"/>
      <c r="ID20" s="2"/>
      <c r="IE20" s="2">
        <v>0</v>
      </c>
      <c r="IF20" s="2" t="s">
        <v>62</v>
      </c>
      <c r="IG20" s="2" t="s">
        <v>230</v>
      </c>
      <c r="IH20" s="99"/>
      <c r="II20" s="2"/>
      <c r="IJ20" s="2"/>
      <c r="IK20" s="2"/>
      <c r="IL20" s="2"/>
      <c r="IM20" s="2">
        <v>0</v>
      </c>
      <c r="IN20" s="2" t="s">
        <v>62</v>
      </c>
      <c r="IO20" s="2" t="s">
        <v>230</v>
      </c>
      <c r="IP20" s="99"/>
      <c r="IQ20" s="2"/>
      <c r="IR20" s="2"/>
      <c r="IS20" s="2"/>
      <c r="IT20" s="2"/>
      <c r="IU20" s="2">
        <v>0</v>
      </c>
      <c r="IV20" s="2" t="s">
        <v>62</v>
      </c>
    </row>
    <row r="21" spans="2:7" ht="12.75">
      <c r="B21" s="6"/>
      <c r="E21" s="6"/>
      <c r="F21" s="78"/>
      <c r="G21" s="6"/>
    </row>
    <row r="22" spans="2:7" ht="12.75">
      <c r="B22" s="82"/>
      <c r="C22" s="3" t="s">
        <v>275</v>
      </c>
      <c r="D22" s="82"/>
      <c r="E22" s="83"/>
      <c r="F22" s="83"/>
      <c r="G22" s="83"/>
    </row>
    <row r="23" spans="2:7" ht="12.75">
      <c r="B23" s="200"/>
      <c r="C23" s="98"/>
      <c r="D23" s="200"/>
      <c r="E23" s="201"/>
      <c r="F23" s="201"/>
      <c r="G23" s="201"/>
    </row>
    <row r="24" spans="2:7" ht="12.75">
      <c r="B24" s="21" t="s">
        <v>98</v>
      </c>
      <c r="C24" s="98"/>
      <c r="D24" s="200"/>
      <c r="E24" s="201"/>
      <c r="F24" s="201"/>
      <c r="G24" s="201"/>
    </row>
    <row r="25" spans="2:7" ht="12.75">
      <c r="B25" s="6"/>
      <c r="C25" s="85" t="s">
        <v>30</v>
      </c>
      <c r="D25" s="42">
        <v>0.9</v>
      </c>
      <c r="E25" s="6" t="s">
        <v>118</v>
      </c>
      <c r="G25" s="85"/>
    </row>
    <row r="26" spans="2:7" ht="12.75">
      <c r="B26" s="6"/>
      <c r="C26" s="85" t="s">
        <v>31</v>
      </c>
      <c r="D26" s="42">
        <v>1.2</v>
      </c>
      <c r="E26" s="6" t="s">
        <v>118</v>
      </c>
      <c r="G26" s="85"/>
    </row>
    <row r="27" spans="2:7" ht="12.75">
      <c r="B27" s="42"/>
      <c r="C27" s="85" t="s">
        <v>266</v>
      </c>
      <c r="D27" s="42">
        <v>2.6</v>
      </c>
      <c r="E27" s="6" t="s">
        <v>118</v>
      </c>
      <c r="G27" s="85"/>
    </row>
    <row r="28" spans="2:7" ht="12.75">
      <c r="B28" s="42"/>
      <c r="C28" s="85" t="s">
        <v>263</v>
      </c>
      <c r="D28" s="74">
        <v>0.4</v>
      </c>
      <c r="E28" s="6"/>
      <c r="G28" s="85"/>
    </row>
    <row r="29" spans="2:7" ht="12.75">
      <c r="B29" s="6"/>
      <c r="C29" s="6"/>
      <c r="D29" s="6"/>
      <c r="E29" s="6"/>
      <c r="F29" s="6"/>
      <c r="G29" s="6"/>
    </row>
    <row r="30" spans="2:7" ht="12.75">
      <c r="B30" s="21" t="s">
        <v>154</v>
      </c>
      <c r="C30" s="98"/>
      <c r="D30" s="200"/>
      <c r="E30" s="201"/>
      <c r="F30" s="201"/>
      <c r="G30" s="201"/>
    </row>
    <row r="31" spans="2:7" ht="12.75">
      <c r="B31" s="6"/>
      <c r="C31" s="84" t="s">
        <v>99</v>
      </c>
      <c r="D31" s="194">
        <v>0.04</v>
      </c>
      <c r="E31" s="6"/>
      <c r="F31" s="6"/>
      <c r="G31" s="6"/>
    </row>
    <row r="32" spans="2:7" ht="12.75">
      <c r="B32" s="6"/>
      <c r="C32" s="6"/>
      <c r="D32" s="6"/>
      <c r="E32" s="6"/>
      <c r="F32" s="6"/>
      <c r="G32" s="6"/>
    </row>
    <row r="33" spans="2:7" ht="12.75">
      <c r="B33" s="99" t="s">
        <v>274</v>
      </c>
      <c r="C33" s="98"/>
      <c r="D33" s="98"/>
      <c r="E33" s="202"/>
      <c r="F33" s="202"/>
      <c r="G33" s="202"/>
    </row>
    <row r="34" spans="2:7" ht="12.75">
      <c r="B34" s="6"/>
      <c r="C34" s="199" t="s">
        <v>253</v>
      </c>
      <c r="D34" s="46">
        <v>0.0009</v>
      </c>
      <c r="E34" s="6"/>
      <c r="F34" s="6"/>
      <c r="G34" s="46"/>
    </row>
    <row r="35" ht="13.5" customHeight="1"/>
    <row r="36" spans="2:7" ht="12.75">
      <c r="B36" s="3"/>
      <c r="C36" s="3" t="s">
        <v>210</v>
      </c>
      <c r="D36" s="3"/>
      <c r="E36" s="4"/>
      <c r="F36" s="4"/>
      <c r="G36" s="4"/>
    </row>
    <row r="37" spans="2:7" ht="12.75">
      <c r="B37" s="98"/>
      <c r="C37" s="98"/>
      <c r="D37" s="98"/>
      <c r="E37" s="202"/>
      <c r="F37" s="202"/>
      <c r="G37" s="202"/>
    </row>
    <row r="38" spans="2:7" ht="12.75">
      <c r="B38" s="6"/>
      <c r="C38" s="84" t="s">
        <v>211</v>
      </c>
      <c r="D38" s="244">
        <v>0.95</v>
      </c>
      <c r="E38" s="6"/>
      <c r="F38" s="2"/>
      <c r="G38" s="6"/>
    </row>
    <row r="39" spans="2:7" ht="12.75">
      <c r="B39" s="6"/>
      <c r="C39" s="84" t="s">
        <v>212</v>
      </c>
      <c r="D39" s="42">
        <v>1</v>
      </c>
      <c r="E39" s="6" t="s">
        <v>125</v>
      </c>
      <c r="F39" s="2"/>
      <c r="G39" s="6"/>
    </row>
    <row r="40" spans="2:7" ht="12.75">
      <c r="B40" s="6"/>
      <c r="C40" s="84" t="s">
        <v>213</v>
      </c>
      <c r="D40" s="244">
        <v>0.04</v>
      </c>
      <c r="E40" s="6"/>
      <c r="F40" s="2"/>
      <c r="G40" s="6"/>
    </row>
    <row r="41" spans="2:7" ht="12.75" customHeight="1">
      <c r="B41" s="6"/>
      <c r="C41" s="162" t="s">
        <v>278</v>
      </c>
      <c r="D41" s="42">
        <v>0.5</v>
      </c>
      <c r="E41" s="6" t="s">
        <v>125</v>
      </c>
      <c r="F41" s="2"/>
      <c r="G41" s="6"/>
    </row>
    <row r="42" spans="2:7" ht="12.75">
      <c r="B42" s="6"/>
      <c r="C42" s="160"/>
      <c r="D42" s="161"/>
      <c r="E42" s="161"/>
      <c r="F42" s="161"/>
      <c r="G42" s="161"/>
    </row>
    <row r="43" spans="2:7" ht="12.75">
      <c r="B43" s="3"/>
      <c r="C43" s="3" t="s">
        <v>297</v>
      </c>
      <c r="D43" s="3"/>
      <c r="E43" s="4"/>
      <c r="F43" s="4"/>
      <c r="G43" s="4"/>
    </row>
    <row r="45" ht="12.75">
      <c r="B45" s="99" t="s">
        <v>276</v>
      </c>
    </row>
    <row r="46" spans="3:5" ht="12.75">
      <c r="C46" s="86" t="s">
        <v>232</v>
      </c>
      <c r="D46" s="74">
        <v>0.6</v>
      </c>
      <c r="E46" s="6"/>
    </row>
    <row r="47" spans="3:5" ht="12.75">
      <c r="C47" s="86" t="s">
        <v>239</v>
      </c>
      <c r="D47" s="74">
        <v>0.15</v>
      </c>
      <c r="E47" s="6"/>
    </row>
    <row r="48" spans="2:7" ht="12.75">
      <c r="B48" s="98"/>
      <c r="C48" s="86" t="s">
        <v>240</v>
      </c>
      <c r="D48" s="190">
        <f>1-(D46+D47)</f>
        <v>0.25</v>
      </c>
      <c r="E48" s="6"/>
      <c r="F48" s="202"/>
      <c r="G48" s="202"/>
    </row>
    <row r="49" spans="2:7" ht="12.75">
      <c r="B49" s="6"/>
      <c r="C49" s="84" t="s">
        <v>100</v>
      </c>
      <c r="D49" s="244">
        <v>0.8</v>
      </c>
      <c r="E49" s="6"/>
      <c r="F49" s="2"/>
      <c r="G49" s="6"/>
    </row>
    <row r="50" spans="2:7" ht="12.75">
      <c r="B50" s="6"/>
      <c r="C50" s="6" t="s">
        <v>101</v>
      </c>
      <c r="D50" s="164">
        <f>1-D49</f>
        <v>0.19999999999999996</v>
      </c>
      <c r="E50" s="6"/>
      <c r="F50" s="2"/>
      <c r="G50" s="6"/>
    </row>
    <row r="51" spans="2:7" ht="12.75">
      <c r="B51" s="6"/>
      <c r="C51" s="86" t="s">
        <v>91</v>
      </c>
      <c r="D51" s="42">
        <f>3.3</f>
        <v>3.3</v>
      </c>
      <c r="E51" s="6" t="s">
        <v>92</v>
      </c>
      <c r="F51" s="2"/>
      <c r="G51" s="6"/>
    </row>
    <row r="52" spans="2:7" ht="12.75">
      <c r="B52" s="6"/>
      <c r="C52" s="29" t="s">
        <v>102</v>
      </c>
      <c r="D52" s="45">
        <v>6</v>
      </c>
      <c r="E52" s="6" t="s">
        <v>95</v>
      </c>
      <c r="F52" s="2"/>
      <c r="G52" s="6"/>
    </row>
    <row r="53" spans="2:7" ht="12.75">
      <c r="B53" s="6"/>
      <c r="C53" s="29" t="s">
        <v>103</v>
      </c>
      <c r="D53" s="45">
        <v>2</v>
      </c>
      <c r="E53" s="6" t="s">
        <v>95</v>
      </c>
      <c r="F53" s="2"/>
      <c r="G53" s="6"/>
    </row>
    <row r="54" spans="2:7" ht="12.75">
      <c r="B54" s="6"/>
      <c r="C54" s="29" t="s">
        <v>178</v>
      </c>
      <c r="D54" s="73">
        <v>3</v>
      </c>
      <c r="E54" s="6" t="s">
        <v>97</v>
      </c>
      <c r="F54" s="2"/>
      <c r="G54" s="6"/>
    </row>
    <row r="55" spans="2:7" ht="12.75">
      <c r="B55" s="6"/>
      <c r="C55" s="29" t="s">
        <v>104</v>
      </c>
      <c r="D55" s="74">
        <v>0.4</v>
      </c>
      <c r="E55" s="6"/>
      <c r="F55" s="2"/>
      <c r="G55" s="6"/>
    </row>
    <row r="56" spans="2:7" ht="12.75">
      <c r="B56" s="6"/>
      <c r="C56" s="29" t="s">
        <v>243</v>
      </c>
      <c r="D56" s="74">
        <v>0.7</v>
      </c>
      <c r="E56" s="6"/>
      <c r="F56" s="2"/>
      <c r="G56" s="6"/>
    </row>
    <row r="57" spans="2:7" ht="12.75">
      <c r="B57" s="6"/>
      <c r="C57" s="214" t="s">
        <v>272</v>
      </c>
      <c r="D57" s="215">
        <v>325</v>
      </c>
      <c r="E57" s="214" t="s">
        <v>53</v>
      </c>
      <c r="F57" s="214"/>
      <c r="G57" s="214"/>
    </row>
    <row r="58" spans="2:7" ht="12.75">
      <c r="B58" s="6"/>
      <c r="C58" s="29"/>
      <c r="D58" s="74"/>
      <c r="E58" s="6"/>
      <c r="F58" s="2"/>
      <c r="G58" s="6"/>
    </row>
    <row r="59" spans="2:7" ht="12.75">
      <c r="B59" s="99" t="s">
        <v>277</v>
      </c>
      <c r="C59" s="98"/>
      <c r="D59" s="98"/>
      <c r="E59" s="195"/>
      <c r="F59" s="195"/>
      <c r="G59" s="195"/>
    </row>
    <row r="60" spans="2:5" ht="12.75">
      <c r="B60" s="6"/>
      <c r="C60" s="29" t="s">
        <v>179</v>
      </c>
      <c r="D60" s="73">
        <v>3</v>
      </c>
      <c r="E60" s="6" t="s">
        <v>97</v>
      </c>
    </row>
    <row r="61" spans="2:5" ht="12.75">
      <c r="B61" s="6"/>
      <c r="C61" s="6" t="s">
        <v>201</v>
      </c>
      <c r="D61" s="6">
        <v>10</v>
      </c>
      <c r="E61" s="6"/>
    </row>
    <row r="62" spans="2:7" ht="12.75">
      <c r="B62" s="6"/>
      <c r="C62" s="86" t="s">
        <v>91</v>
      </c>
      <c r="D62" s="42">
        <f>3.3</f>
        <v>3.3</v>
      </c>
      <c r="E62" s="6" t="s">
        <v>92</v>
      </c>
      <c r="F62" s="107"/>
      <c r="G62" s="44"/>
    </row>
    <row r="63" spans="2:7" ht="12.75">
      <c r="B63" s="6"/>
      <c r="F63" s="2"/>
      <c r="G63" s="6"/>
    </row>
    <row r="64" spans="2:7" ht="12.75">
      <c r="B64" s="47"/>
      <c r="C64" s="3" t="s">
        <v>195</v>
      </c>
      <c r="D64" s="3"/>
      <c r="E64" s="47"/>
      <c r="F64" s="47"/>
      <c r="G64" s="47"/>
    </row>
    <row r="66" ht="12.75">
      <c r="B66" s="99" t="s">
        <v>291</v>
      </c>
    </row>
    <row r="67" spans="2:5" ht="12.75">
      <c r="B67" s="99"/>
      <c r="C67" s="29" t="s">
        <v>96</v>
      </c>
      <c r="D67" s="73">
        <v>3</v>
      </c>
      <c r="E67" s="6" t="s">
        <v>97</v>
      </c>
    </row>
    <row r="68" spans="2:5" ht="12.75">
      <c r="B68" s="99"/>
      <c r="C68" s="2" t="s">
        <v>207</v>
      </c>
      <c r="D68" s="45">
        <v>1.5</v>
      </c>
      <c r="E68" s="6" t="s">
        <v>92</v>
      </c>
    </row>
    <row r="69" spans="3:5" ht="12.75">
      <c r="C69" s="29" t="s">
        <v>189</v>
      </c>
      <c r="D69" s="6">
        <v>30</v>
      </c>
      <c r="E69" s="6"/>
    </row>
    <row r="70" spans="3:5" ht="12.75">
      <c r="C70" s="29" t="s">
        <v>55</v>
      </c>
      <c r="D70" s="6">
        <v>640.29</v>
      </c>
      <c r="E70" s="6" t="s">
        <v>56</v>
      </c>
    </row>
    <row r="71" spans="3:5" ht="12.75">
      <c r="C71" s="29" t="s">
        <v>190</v>
      </c>
      <c r="D71" s="42">
        <v>16.8</v>
      </c>
      <c r="E71" s="6" t="s">
        <v>62</v>
      </c>
    </row>
    <row r="72" spans="3:5" ht="12.75">
      <c r="C72" s="29" t="s">
        <v>191</v>
      </c>
      <c r="D72" s="73">
        <v>6048</v>
      </c>
      <c r="E72" s="6" t="s">
        <v>53</v>
      </c>
    </row>
    <row r="73" spans="3:5" ht="12.75">
      <c r="C73" s="2" t="s">
        <v>209</v>
      </c>
      <c r="D73" s="2">
        <v>500</v>
      </c>
      <c r="E73" s="2" t="s">
        <v>68</v>
      </c>
    </row>
    <row r="74" spans="2:5" ht="12.75">
      <c r="B74" s="188"/>
      <c r="C74" s="2" t="s">
        <v>208</v>
      </c>
      <c r="D74" s="150">
        <v>0.11</v>
      </c>
      <c r="E74" s="2"/>
    </row>
    <row r="75" spans="3:5" ht="12.75">
      <c r="C75" s="2" t="s">
        <v>154</v>
      </c>
      <c r="D75" s="150">
        <f>D31</f>
        <v>0.04</v>
      </c>
      <c r="E75" s="2"/>
    </row>
    <row r="76" spans="4:5" ht="12.75">
      <c r="D76" s="6"/>
      <c r="E76" s="6"/>
    </row>
    <row r="77" ht="12.75">
      <c r="B77" s="143" t="s">
        <v>255</v>
      </c>
    </row>
    <row r="78" spans="3:5" ht="12.75">
      <c r="C78" s="29" t="s">
        <v>94</v>
      </c>
      <c r="D78" s="6">
        <v>9</v>
      </c>
      <c r="E78" s="6" t="s">
        <v>95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B1:X13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.7109375" style="1" customWidth="1"/>
    <col min="3" max="5" width="11.421875" style="1" customWidth="1"/>
    <col min="6" max="6" width="12.8515625" style="1" customWidth="1"/>
    <col min="7" max="7" width="9.7109375" style="1" customWidth="1"/>
    <col min="8" max="9" width="6.7109375" style="1" customWidth="1"/>
    <col min="10" max="10" width="2.7109375" style="1" customWidth="1"/>
    <col min="11" max="12" width="6.7109375" style="1" customWidth="1"/>
    <col min="13" max="13" width="2.7109375" style="1" customWidth="1"/>
    <col min="14" max="15" width="6.7109375" style="1" customWidth="1"/>
    <col min="16" max="16" width="2.7109375" style="1" customWidth="1"/>
    <col min="17" max="18" width="6.7109375" style="1" customWidth="1"/>
    <col min="19" max="19" width="2.7109375" style="1" customWidth="1"/>
    <col min="20" max="21" width="6.7109375" style="1" customWidth="1"/>
    <col min="22" max="22" width="2.7109375" style="1" customWidth="1"/>
    <col min="23" max="24" width="6.7109375" style="1" customWidth="1"/>
    <col min="25" max="16384" width="11.421875" style="1" customWidth="1"/>
  </cols>
  <sheetData>
    <row r="1" spans="3:24" ht="18" customHeight="1">
      <c r="C1" s="6"/>
      <c r="D1" s="6"/>
      <c r="E1" s="6"/>
      <c r="F1" s="6"/>
      <c r="G1" s="6"/>
      <c r="H1" s="6"/>
      <c r="I1" s="90"/>
      <c r="J1" s="6"/>
      <c r="K1" s="6"/>
      <c r="L1" s="6"/>
      <c r="M1" s="6"/>
      <c r="N1" s="6"/>
      <c r="O1" s="90"/>
      <c r="P1" s="6"/>
      <c r="Q1" s="6"/>
      <c r="R1" s="6"/>
      <c r="S1" s="6"/>
      <c r="T1" s="6"/>
      <c r="U1" s="90"/>
      <c r="V1" s="6"/>
      <c r="W1" s="6"/>
      <c r="X1" s="6"/>
    </row>
    <row r="2" spans="2:24" ht="12.75">
      <c r="B2" s="3"/>
      <c r="C2" s="3" t="s">
        <v>184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2.75">
      <c r="B3" s="6"/>
      <c r="C3" s="29"/>
      <c r="D3" s="6"/>
      <c r="E3" s="6"/>
      <c r="F3" s="6"/>
      <c r="G3" s="8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3:24" ht="12.75">
      <c r="C4" s="29"/>
      <c r="D4" s="6"/>
      <c r="E4" s="6"/>
      <c r="F4" s="6"/>
      <c r="G4" s="89"/>
      <c r="H4" s="332" t="s">
        <v>30</v>
      </c>
      <c r="I4" s="334"/>
      <c r="J4" s="334"/>
      <c r="K4" s="334"/>
      <c r="L4" s="335"/>
      <c r="N4" s="332" t="s">
        <v>31</v>
      </c>
      <c r="O4" s="334"/>
      <c r="P4" s="334"/>
      <c r="Q4" s="334"/>
      <c r="R4" s="335"/>
      <c r="T4" s="332" t="s">
        <v>116</v>
      </c>
      <c r="U4" s="334"/>
      <c r="V4" s="334"/>
      <c r="W4" s="334"/>
      <c r="X4" s="335"/>
    </row>
    <row r="5" spans="2:24" ht="6" customHeight="1">
      <c r="B5" s="6"/>
      <c r="C5" s="6"/>
      <c r="D5" s="29"/>
      <c r="E5" s="6"/>
      <c r="F5" s="6"/>
      <c r="G5" s="6"/>
      <c r="H5" s="89"/>
      <c r="I5" s="6"/>
      <c r="J5" s="6"/>
      <c r="K5" s="6"/>
      <c r="L5" s="6"/>
      <c r="M5" s="6"/>
      <c r="N5" s="89"/>
      <c r="O5" s="6"/>
      <c r="P5" s="6"/>
      <c r="Q5" s="6"/>
      <c r="R5" s="6"/>
      <c r="S5" s="6"/>
      <c r="T5" s="89"/>
      <c r="U5" s="6"/>
      <c r="V5" s="6"/>
      <c r="W5" s="6"/>
      <c r="X5" s="6"/>
    </row>
    <row r="6" spans="2:24" ht="12.75">
      <c r="B6" s="6"/>
      <c r="C6" s="29"/>
      <c r="D6" s="6"/>
      <c r="E6" s="6"/>
      <c r="F6" s="6"/>
      <c r="G6" s="89"/>
      <c r="H6" s="6" t="s">
        <v>114</v>
      </c>
      <c r="I6" s="6"/>
      <c r="J6" s="6"/>
      <c r="K6" s="6" t="s">
        <v>115</v>
      </c>
      <c r="L6" s="6"/>
      <c r="M6" s="6"/>
      <c r="N6" s="6" t="s">
        <v>114</v>
      </c>
      <c r="O6" s="6"/>
      <c r="P6" s="6"/>
      <c r="Q6" s="6" t="s">
        <v>115</v>
      </c>
      <c r="R6" s="6"/>
      <c r="S6" s="6"/>
      <c r="T6" s="6" t="s">
        <v>114</v>
      </c>
      <c r="U6" s="6"/>
      <c r="V6" s="6"/>
      <c r="W6" s="6" t="s">
        <v>115</v>
      </c>
      <c r="X6" s="6"/>
    </row>
    <row r="7" spans="2:24" ht="12.75">
      <c r="B7" s="6"/>
      <c r="C7" s="29"/>
      <c r="D7" s="29"/>
      <c r="E7" s="29"/>
      <c r="F7" s="22" t="s">
        <v>20</v>
      </c>
      <c r="G7" s="6"/>
      <c r="H7" s="297">
        <f>'Profils d''appel'!L12*'Profils d''appel'!D11</f>
        <v>0.53</v>
      </c>
      <c r="I7" s="298">
        <f>'Profils d''appel'!E11</f>
        <v>200</v>
      </c>
      <c r="J7" s="299"/>
      <c r="K7" s="297">
        <f>'Profils d''appel'!L17*'Profils d''appel'!D16</f>
        <v>0.784</v>
      </c>
      <c r="L7" s="298">
        <f>'Profils d''appel'!E16</f>
        <v>140</v>
      </c>
      <c r="M7" s="299"/>
      <c r="N7" s="297">
        <f>'Profils d''appel'!L26*'Profils d''appel'!D24</f>
        <v>0.3</v>
      </c>
      <c r="O7" s="298">
        <f>'Profils d''appel'!E24</f>
        <v>350</v>
      </c>
      <c r="P7" s="299"/>
      <c r="Q7" s="297">
        <f>'Profils d''appel'!L30*'Profils d''appel'!D29</f>
        <v>0.776</v>
      </c>
      <c r="R7" s="298">
        <f>'Profils d''appel'!E29</f>
        <v>175</v>
      </c>
      <c r="S7" s="299"/>
      <c r="T7" s="297">
        <f>'Profils d''appel'!N37*'Profils d''appel'!D37</f>
        <v>0.6375</v>
      </c>
      <c r="U7" s="298">
        <f>'Profils d''appel'!E37</f>
        <v>112</v>
      </c>
      <c r="V7" s="299"/>
      <c r="W7" s="297">
        <f>'Profils d''appel'!N37*'Profils d''appel'!D42</f>
        <v>0.765</v>
      </c>
      <c r="X7" s="298">
        <f>'Profils d''appel'!E42</f>
        <v>105</v>
      </c>
    </row>
    <row r="8" spans="2:24" ht="12.75">
      <c r="B8" s="6"/>
      <c r="C8" s="29"/>
      <c r="D8" s="29"/>
      <c r="E8" s="29"/>
      <c r="F8" s="24" t="s">
        <v>22</v>
      </c>
      <c r="G8" s="6"/>
      <c r="H8" s="300">
        <f>'Profils d''appel'!M12*'Profils d''appel'!D12</f>
        <v>0.44649999999999995</v>
      </c>
      <c r="I8" s="301">
        <f>'Profils d''appel'!E12</f>
        <v>250</v>
      </c>
      <c r="J8" s="299"/>
      <c r="K8" s="300">
        <f>'Profils d''appel'!M17*'Profils d''appel'!D16</f>
        <v>0.19599999999999995</v>
      </c>
      <c r="L8" s="301">
        <f>'Profils d''appel'!E16</f>
        <v>140</v>
      </c>
      <c r="M8" s="299"/>
      <c r="N8" s="300">
        <f>'Profils d''appel'!M26*'Profils d''appel'!D25</f>
        <v>0.6649999999999999</v>
      </c>
      <c r="O8" s="301">
        <f>'Profils d''appel'!E25</f>
        <v>500</v>
      </c>
      <c r="P8" s="299"/>
      <c r="Q8" s="300">
        <f>'Profils d''appel'!M30*'Profils d''appel'!D29</f>
        <v>0.19399999999999995</v>
      </c>
      <c r="R8" s="301">
        <f>'Profils d''appel'!E29</f>
        <v>175</v>
      </c>
      <c r="S8" s="299"/>
      <c r="T8" s="300">
        <f>'Profils d''appel'!N38*'Profils d''appel'!D37+'Profils d''appel'!N41*'Profils d''appel'!D38</f>
        <v>0.3125</v>
      </c>
      <c r="U8" s="301">
        <f>1/(('Profils d''appel'!N38/('Profils d''appel'!N38+'Profils d''appel'!N41)/'Profils d''appel'!E37+('Profils d''appel'!N41/('Profils d''appel'!N38+'Profils d''appel'!N41)/'Profils d''appel'!E38)))</f>
        <v>112</v>
      </c>
      <c r="V8" s="299"/>
      <c r="W8" s="300">
        <f>'Profils d''appel'!N38*'Profils d''appel'!D42+'Profils d''appel'!N41*'Profils d''appel'!D43</f>
        <v>0.215</v>
      </c>
      <c r="X8" s="301">
        <f>1/(('Profils d''appel'!N38/('Profils d''appel'!N38+'Profils d''appel'!N41)/'Profils d''appel'!E42+('Profils d''appel'!N41/('Profils d''appel'!N41+'Profils d''appel'!N38)/'Profils d''appel'!E43)))</f>
        <v>105.00000000000001</v>
      </c>
    </row>
    <row r="9" spans="2:24" ht="12.75">
      <c r="B9" s="6"/>
      <c r="C9" s="29"/>
      <c r="D9" s="29"/>
      <c r="E9" s="29"/>
      <c r="F9" s="24" t="s">
        <v>23</v>
      </c>
      <c r="G9" s="6"/>
      <c r="H9" s="300">
        <f>'Profils d''appel'!N12*'Profils d''appel'!D12</f>
        <v>0.02350000000000002</v>
      </c>
      <c r="I9" s="301">
        <f>'Profils d''appel'!E12</f>
        <v>250</v>
      </c>
      <c r="J9" s="299"/>
      <c r="K9" s="300">
        <f>'Profils d''appel'!N17*'Profils d''appel'!D17</f>
        <v>0.020000000000000018</v>
      </c>
      <c r="L9" s="301">
        <f>'Profils d''appel'!E17</f>
        <v>170</v>
      </c>
      <c r="M9" s="299"/>
      <c r="N9" s="300">
        <f>'Profils d''appel'!N26*'Profils d''appel'!D25</f>
        <v>0.03500000000000003</v>
      </c>
      <c r="O9" s="301">
        <f>'Profils d''appel'!E25</f>
        <v>500</v>
      </c>
      <c r="P9" s="299"/>
      <c r="Q9" s="300">
        <f>'Profils d''appel'!N30*'Profils d''appel'!D30</f>
        <v>0.030000000000000027</v>
      </c>
      <c r="R9" s="301">
        <f>'Profils d''appel'!E30</f>
        <v>210</v>
      </c>
      <c r="S9" s="299"/>
      <c r="T9" s="300">
        <f>'Profils d''appel'!N42*'Profils d''appel'!D38</f>
        <v>0.04999999999999999</v>
      </c>
      <c r="U9" s="301">
        <f>'Profils d''appel'!E38</f>
        <v>112</v>
      </c>
      <c r="V9" s="299"/>
      <c r="W9" s="300">
        <f>'Profils d''appel'!N42*'Profils d''appel'!D43</f>
        <v>0.01999999999999999</v>
      </c>
      <c r="X9" s="301">
        <f>'Profils d''appel'!E43</f>
        <v>105</v>
      </c>
    </row>
    <row r="10" spans="2:24" ht="12.75">
      <c r="B10" s="6"/>
      <c r="C10" s="29"/>
      <c r="D10" s="29"/>
      <c r="E10" s="29"/>
      <c r="F10" s="25" t="s">
        <v>15</v>
      </c>
      <c r="G10" s="6"/>
      <c r="H10" s="302">
        <f>SUM(H7:H9)</f>
        <v>1</v>
      </c>
      <c r="I10" s="303">
        <f>1/(H7/I7+H8/I8+H9/I9)</f>
        <v>220.7505518763797</v>
      </c>
      <c r="J10" s="299"/>
      <c r="K10" s="302">
        <f>SUM(K7:K9)</f>
        <v>1</v>
      </c>
      <c r="L10" s="303">
        <f>1/(K7/L7+K8/L8+K9/L9)</f>
        <v>140.49586776859505</v>
      </c>
      <c r="M10" s="299"/>
      <c r="N10" s="302">
        <f>SUM(N7:N9)</f>
        <v>0.9999999999999999</v>
      </c>
      <c r="O10" s="303">
        <f>1/(N7/O7+N8/O8+N9/O9)</f>
        <v>443.0379746835443</v>
      </c>
      <c r="P10" s="299"/>
      <c r="Q10" s="302">
        <f>SUM(Q7:Q9)</f>
        <v>1</v>
      </c>
      <c r="R10" s="303">
        <f>1/(Q7/R7+Q8/R8+Q9/R9)</f>
        <v>175.8793969849246</v>
      </c>
      <c r="S10" s="299"/>
      <c r="T10" s="302">
        <f>SUM(T7:T9)</f>
        <v>1</v>
      </c>
      <c r="U10" s="303">
        <f>1/(T7/U7+T8/U8+T9/U9)</f>
        <v>112</v>
      </c>
      <c r="V10" s="299"/>
      <c r="W10" s="302">
        <f>SUM(W7:W9)</f>
        <v>1</v>
      </c>
      <c r="X10" s="303">
        <f>1/(W7/X7+W8/X8+W9/X9)</f>
        <v>105.00000000000001</v>
      </c>
    </row>
    <row r="11" spans="2:24" ht="12.75">
      <c r="B11" s="21" t="s">
        <v>159</v>
      </c>
      <c r="C11" s="29"/>
      <c r="D11" s="6"/>
      <c r="E11" s="6"/>
      <c r="F11" s="6"/>
      <c r="G11" s="8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</row>
    <row r="12" spans="2:24" ht="12.75">
      <c r="B12" s="6"/>
      <c r="C12" s="29" t="s">
        <v>105</v>
      </c>
      <c r="D12" s="6"/>
      <c r="E12" s="6"/>
      <c r="F12" s="6" t="s">
        <v>44</v>
      </c>
      <c r="G12" s="6" t="s">
        <v>106</v>
      </c>
      <c r="H12" s="6"/>
      <c r="I12" s="87">
        <f>(H7*CACAAHP/(I7/60)+H8*CACAAHC/(I8/60)+H9*CACAAHBN/(I9/60))*100</f>
        <v>0.026225040000000005</v>
      </c>
      <c r="J12" s="6"/>
      <c r="K12" s="6"/>
      <c r="L12" s="87">
        <f>(K7*CACAAHP/(L7/60)+K8*CACAAHC/(L8/60)+K9*CACAAHBN/(L9/60))*100</f>
        <v>0.04478188235294117</v>
      </c>
      <c r="M12" s="6"/>
      <c r="N12" s="6"/>
      <c r="O12" s="87">
        <f>(N7*CACAAHP/(O7/60)+N8*CACAAHC/(O8/60)+N9*CACAAHBN/(O9/60))*100</f>
        <v>0.01189405714285714</v>
      </c>
      <c r="P12" s="6"/>
      <c r="Q12" s="6"/>
      <c r="R12" s="87">
        <f>(Q7*CACAAHP/(R7/60)+Q8*CACAAHC/(R8/60)+Q9*CACAAHBN/(R9/60))*100</f>
        <v>0.03560605714285714</v>
      </c>
      <c r="S12" s="6"/>
      <c r="T12" s="6"/>
      <c r="U12" s="87">
        <f>(T7*CACAAHP/(U7/60)+T8*CACAAHC/(U8/60)+T9*CACAAHBN/(U9/60))*100</f>
        <v>0.05246651785714286</v>
      </c>
      <c r="V12" s="6"/>
      <c r="W12" s="6"/>
      <c r="X12" s="87">
        <f>(W7*CACAAHP/(X7/60)+W8*CACAAHC/(X8/60)+W9*CACAAHBN/(X9/60))*100</f>
        <v>0.05936285714285715</v>
      </c>
    </row>
    <row r="13" spans="2:24" ht="12.75">
      <c r="B13" s="6"/>
      <c r="C13" s="6" t="s">
        <v>105</v>
      </c>
      <c r="D13" s="6"/>
      <c r="E13" s="6"/>
      <c r="F13" s="6" t="s">
        <v>51</v>
      </c>
      <c r="G13" s="6" t="s">
        <v>106</v>
      </c>
      <c r="H13" s="6"/>
      <c r="I13" s="87">
        <f>(H7*CAPROHP/(I7/60)+H8*CAPROHC/(I8/60)+H9*CAPROHBN/(I9/60))*100</f>
        <v>0.08243171999999999</v>
      </c>
      <c r="J13" s="6"/>
      <c r="K13" s="6"/>
      <c r="L13" s="87">
        <f>(K7*CAPROHP/(L7/60)+K8*CAPROHC/(L8/60)+K9*CAPROHBN/(L9/60))*100</f>
        <v>0.14068799999999998</v>
      </c>
      <c r="M13" s="6"/>
      <c r="N13" s="6"/>
      <c r="O13" s="87">
        <f>(N7*CAPROHP/(O7/60)+N8*CAPROHC/(O8/60)+N9*CAPROHBN/(O9/60))*100</f>
        <v>0.037408028571428574</v>
      </c>
      <c r="P13" s="6"/>
      <c r="Q13" s="6"/>
      <c r="R13" s="87">
        <f>(Q7*CAPROHP/(R7/60)+Q8*CAPROHC/(R8/60)+Q9*CAPROHBN/(R9/60))*100</f>
        <v>0.11185817142857146</v>
      </c>
      <c r="S13" s="6"/>
      <c r="T13" s="6"/>
      <c r="U13" s="87">
        <f>(T7*CAPROHP/(U7/60)+T8*CAPROHC/(U8/60)+T9*CAPROHBN/(U9/60))*100</f>
        <v>0.1648660714285714</v>
      </c>
      <c r="V13" s="6"/>
      <c r="W13" s="6"/>
      <c r="X13" s="87">
        <f>(W7*CAPROHP/(X7/60)+W8*CAPROHC/(X8/60)+W9*CAPROHBN/(X9/60))*100</f>
        <v>0.18650285714285714</v>
      </c>
    </row>
    <row r="14" spans="2:24" ht="12.75">
      <c r="B14" s="6"/>
      <c r="C14" s="6" t="s">
        <v>105</v>
      </c>
      <c r="D14" s="6"/>
      <c r="E14" s="6"/>
      <c r="F14" s="6" t="s">
        <v>107</v>
      </c>
      <c r="G14" s="6" t="s">
        <v>106</v>
      </c>
      <c r="H14" s="6"/>
      <c r="I14" s="94">
        <f>I12*REPCAA+I13*REPPRO</f>
        <v>0.037466375999999996</v>
      </c>
      <c r="J14" s="6"/>
      <c r="K14" s="6"/>
      <c r="L14" s="94">
        <f>L12*REPCAA+L13*REPPRO</f>
        <v>0.06396310588235293</v>
      </c>
      <c r="M14" s="6"/>
      <c r="N14" s="6"/>
      <c r="O14" s="94">
        <f>O12*REPCAA+O13*REPPRO</f>
        <v>0.016996851428571425</v>
      </c>
      <c r="P14" s="6"/>
      <c r="Q14" s="6"/>
      <c r="R14" s="94">
        <f>R12*REPCAA+R13*REPPRO</f>
        <v>0.050856479999999996</v>
      </c>
      <c r="S14" s="6"/>
      <c r="T14" s="6"/>
      <c r="U14" s="94">
        <f>U12*REPCAA+U13*REPPRO</f>
        <v>0.07494642857142857</v>
      </c>
      <c r="V14" s="6"/>
      <c r="W14" s="6"/>
      <c r="X14" s="94">
        <f>X12*REPCAA+X13*REPPRO</f>
        <v>0.08479085714285714</v>
      </c>
    </row>
    <row r="15" spans="2:24" ht="12.75">
      <c r="B15" s="6"/>
      <c r="C15" s="6" t="s">
        <v>49</v>
      </c>
      <c r="D15" s="6"/>
      <c r="E15" s="6"/>
      <c r="F15" s="6" t="s">
        <v>44</v>
      </c>
      <c r="G15" s="6" t="s">
        <v>106</v>
      </c>
      <c r="H15" s="6"/>
      <c r="I15" s="87">
        <f>(PVCAAHP*H7+PVCAAHC*H8+PVCAAHBN*H9)*100</f>
        <v>0.4107655</v>
      </c>
      <c r="J15" s="6"/>
      <c r="K15" s="6"/>
      <c r="L15" s="87">
        <f>(PVCAAHP*K7+PVCAAHC*K8+PVCAAHBN*K9)*100</f>
        <v>0.455844</v>
      </c>
      <c r="M15" s="6"/>
      <c r="N15" s="6"/>
      <c r="O15" s="87">
        <f>(PVCAAHP*N7+PVCAAHC*N8+PVCAAHBN*N9)*100</f>
        <v>0.36905499999999997</v>
      </c>
      <c r="P15" s="6"/>
      <c r="Q15" s="6"/>
      <c r="R15" s="87">
        <f>(PVCAAHP*Q7+PVCAAHC*Q8+PVCAAHBN*Q9)*100</f>
        <v>0.453366</v>
      </c>
      <c r="S15" s="6"/>
      <c r="T15" s="6"/>
      <c r="U15" s="87">
        <f>(PVCAAHP*T7+PVCAAHC*T8+PVCAAHBN*T9)*100</f>
        <v>0.42684999999999995</v>
      </c>
      <c r="V15" s="6"/>
      <c r="W15" s="6"/>
      <c r="X15" s="87">
        <f>(PVCAAHP*W7+PVCAAHC*W8+PVCAAHBN*W9)*100</f>
        <v>0.4525</v>
      </c>
    </row>
    <row r="16" spans="2:24" ht="12.75">
      <c r="B16" s="6"/>
      <c r="C16" s="6" t="s">
        <v>49</v>
      </c>
      <c r="D16" s="6"/>
      <c r="E16" s="6"/>
      <c r="F16" s="6" t="s">
        <v>51</v>
      </c>
      <c r="G16" s="6" t="s">
        <v>106</v>
      </c>
      <c r="H16" s="6"/>
      <c r="I16" s="87">
        <f>(PVPROHP*H7+PVPROHC*H8+PVPROHBN*H9)*100</f>
        <v>0.730955</v>
      </c>
      <c r="J16" s="6"/>
      <c r="K16" s="6"/>
      <c r="L16" s="87">
        <f>(PVPROHP*K7+PVPROHC*K8+PVPROHBN*K9)*100</f>
        <v>0.811376</v>
      </c>
      <c r="M16" s="6"/>
      <c r="N16" s="6"/>
      <c r="O16" s="87">
        <f>(PVPROHP*N7+PVPROHC*N8+PVPROHBN*N9)*100</f>
        <v>0.6565499999999999</v>
      </c>
      <c r="P16" s="6"/>
      <c r="Q16" s="6"/>
      <c r="R16" s="87">
        <f>(PVPROHP*Q7+PVPROHC*Q8+PVPROHBN*Q9)*100</f>
        <v>0.8069639999999999</v>
      </c>
      <c r="S16" s="6"/>
      <c r="T16" s="6"/>
      <c r="U16" s="87">
        <f>(PVPROHP*T7+PVPROHC*T8+PVPROHBN*T9)*100</f>
        <v>0.7596749999999999</v>
      </c>
      <c r="V16" s="6"/>
      <c r="W16" s="6"/>
      <c r="X16" s="87">
        <f>(PVPROHP*W7+PVPROHC*W8+PVPROHBN*W9)*100</f>
        <v>0.80541</v>
      </c>
    </row>
    <row r="17" spans="2:24" ht="12.75">
      <c r="B17" s="6"/>
      <c r="C17" s="6" t="s">
        <v>49</v>
      </c>
      <c r="D17" s="6"/>
      <c r="E17" s="6"/>
      <c r="F17" s="6" t="s">
        <v>107</v>
      </c>
      <c r="G17" s="6" t="s">
        <v>106</v>
      </c>
      <c r="H17" s="6"/>
      <c r="I17" s="94">
        <f>I15*REPCAA+I16*REPPRO</f>
        <v>0.4748034</v>
      </c>
      <c r="J17" s="6"/>
      <c r="K17" s="6"/>
      <c r="L17" s="94">
        <f>L15*REPCAA+L16*REPPRO</f>
        <v>0.5269504</v>
      </c>
      <c r="M17" s="6"/>
      <c r="N17" s="6"/>
      <c r="O17" s="94">
        <f>O15*REPCAA+O16*REPPRO</f>
        <v>0.426554</v>
      </c>
      <c r="P17" s="6"/>
      <c r="Q17" s="6"/>
      <c r="R17" s="94">
        <f>R15*REPCAA+R16*REPPRO</f>
        <v>0.5240856</v>
      </c>
      <c r="S17" s="6"/>
      <c r="T17" s="6"/>
      <c r="U17" s="94">
        <f>U15*REPCAA+U16*REPPRO</f>
        <v>0.49341499999999994</v>
      </c>
      <c r="V17" s="6"/>
      <c r="W17" s="6"/>
      <c r="X17" s="94">
        <f>X15*REPCAA+X16*REPPRO</f>
        <v>0.523082</v>
      </c>
    </row>
    <row r="18" spans="2:24" ht="12.75">
      <c r="B18" s="6"/>
      <c r="C18" s="6"/>
      <c r="D18" s="6"/>
      <c r="E18" s="6"/>
      <c r="F18" s="6"/>
      <c r="G18" s="6"/>
      <c r="H18" s="6"/>
      <c r="I18" s="90"/>
      <c r="J18" s="6"/>
      <c r="K18" s="6"/>
      <c r="L18" s="6"/>
      <c r="M18" s="6"/>
      <c r="N18" s="6"/>
      <c r="O18" s="90"/>
      <c r="P18" s="6"/>
      <c r="Q18" s="6"/>
      <c r="R18" s="6"/>
      <c r="S18" s="6"/>
      <c r="T18" s="6"/>
      <c r="U18" s="90"/>
      <c r="V18" s="6"/>
      <c r="W18" s="6"/>
      <c r="X18" s="6"/>
    </row>
    <row r="19" spans="2:24" ht="12.75">
      <c r="B19" s="21" t="s">
        <v>83</v>
      </c>
      <c r="C19" s="6"/>
      <c r="D19" s="6"/>
      <c r="E19" s="6"/>
      <c r="F19" s="6"/>
      <c r="G19" s="6"/>
      <c r="H19" s="6"/>
      <c r="I19" s="90"/>
      <c r="J19" s="6"/>
      <c r="K19" s="6"/>
      <c r="L19" s="6"/>
      <c r="M19" s="6"/>
      <c r="N19" s="6"/>
      <c r="O19" s="90"/>
      <c r="P19" s="6"/>
      <c r="Q19" s="6"/>
      <c r="R19" s="6"/>
      <c r="S19" s="6"/>
      <c r="T19" s="6"/>
      <c r="U19" s="90"/>
      <c r="V19" s="6"/>
      <c r="W19" s="6"/>
      <c r="X19" s="6"/>
    </row>
    <row r="20" spans="2:24" ht="12.75">
      <c r="B20" s="6"/>
      <c r="C20" s="6" t="s">
        <v>119</v>
      </c>
      <c r="D20" s="6"/>
      <c r="E20" s="6"/>
      <c r="F20" s="6" t="s">
        <v>44</v>
      </c>
      <c r="G20" s="177">
        <f>(BPNCAA/('Hypothèses coûts'!D51*1000000))*100</f>
        <v>0.07833333333333334</v>
      </c>
      <c r="H20" s="6" t="s">
        <v>106</v>
      </c>
      <c r="I20" s="90"/>
      <c r="J20" s="6"/>
      <c r="K20" s="6"/>
      <c r="L20" s="6"/>
      <c r="M20" s="6"/>
      <c r="N20" s="6"/>
      <c r="O20" s="90"/>
      <c r="P20" s="6"/>
      <c r="Q20" s="6"/>
      <c r="R20" s="6"/>
      <c r="S20" s="6"/>
      <c r="T20" s="6"/>
      <c r="U20" s="90"/>
      <c r="V20" s="6"/>
      <c r="W20" s="6"/>
      <c r="X20" s="6"/>
    </row>
    <row r="21" spans="2:24" ht="12.75">
      <c r="B21" s="6"/>
      <c r="C21" s="6" t="s">
        <v>119</v>
      </c>
      <c r="D21" s="6"/>
      <c r="E21" s="6"/>
      <c r="F21" s="6" t="s">
        <v>51</v>
      </c>
      <c r="G21" s="177">
        <f>(BPNPRO/('Hypothèses coûts'!D51*1000000))*100</f>
        <v>0.11831515151515151</v>
      </c>
      <c r="H21" s="6" t="s">
        <v>106</v>
      </c>
      <c r="I21" s="90"/>
      <c r="J21" s="6"/>
      <c r="K21" s="6"/>
      <c r="L21" s="6"/>
      <c r="M21" s="6"/>
      <c r="N21" s="6"/>
      <c r="O21" s="90"/>
      <c r="P21" s="6"/>
      <c r="Q21" s="6"/>
      <c r="R21" s="6"/>
      <c r="S21" s="6"/>
      <c r="T21" s="6"/>
      <c r="U21" s="90"/>
      <c r="V21" s="6"/>
      <c r="W21" s="6"/>
      <c r="X21" s="6"/>
    </row>
    <row r="22" spans="2:24" ht="12.75">
      <c r="B22" s="6"/>
      <c r="C22" s="6" t="s">
        <v>119</v>
      </c>
      <c r="D22" s="6"/>
      <c r="E22" s="6"/>
      <c r="F22" s="6" t="s">
        <v>107</v>
      </c>
      <c r="G22" s="93">
        <f>REPCAA*G20+REPPRO*G21</f>
        <v>0.08632969696969697</v>
      </c>
      <c r="H22" s="6" t="s">
        <v>106</v>
      </c>
      <c r="I22" s="90"/>
      <c r="J22" s="6"/>
      <c r="K22" s="6"/>
      <c r="L22" s="6"/>
      <c r="M22" s="6"/>
      <c r="N22" s="6"/>
      <c r="O22" s="90"/>
      <c r="P22" s="6"/>
      <c r="Q22" s="6"/>
      <c r="R22" s="6"/>
      <c r="S22" s="6"/>
      <c r="T22" s="6"/>
      <c r="U22" s="90"/>
      <c r="V22" s="6"/>
      <c r="W22" s="6"/>
      <c r="X22" s="6"/>
    </row>
    <row r="23" spans="2:24" ht="12.75">
      <c r="B23" s="6"/>
      <c r="C23" s="6"/>
      <c r="D23" s="6"/>
      <c r="E23" s="6"/>
      <c r="F23" s="6"/>
      <c r="G23" s="92"/>
      <c r="H23" s="6"/>
      <c r="I23" s="90"/>
      <c r="J23" s="6"/>
      <c r="K23" s="6"/>
      <c r="L23" s="6"/>
      <c r="M23" s="6"/>
      <c r="N23" s="6"/>
      <c r="O23" s="90"/>
      <c r="P23" s="6"/>
      <c r="Q23" s="6"/>
      <c r="R23" s="6"/>
      <c r="S23" s="6"/>
      <c r="T23" s="6"/>
      <c r="U23" s="90"/>
      <c r="V23" s="6"/>
      <c r="W23" s="6"/>
      <c r="X23" s="6"/>
    </row>
    <row r="24" spans="2:24" ht="12.75">
      <c r="B24" s="21" t="s">
        <v>54</v>
      </c>
      <c r="C24" s="6"/>
      <c r="D24" s="6"/>
      <c r="E24" s="6"/>
      <c r="F24" s="6"/>
      <c r="G24" s="92"/>
      <c r="H24" s="6"/>
      <c r="I24" s="90"/>
      <c r="J24" s="6"/>
      <c r="K24" s="6"/>
      <c r="L24" s="6"/>
      <c r="M24" s="6"/>
      <c r="N24" s="6"/>
      <c r="O24" s="90"/>
      <c r="P24" s="6"/>
      <c r="Q24" s="6"/>
      <c r="R24" s="6"/>
      <c r="S24" s="6"/>
      <c r="T24" s="6"/>
      <c r="U24" s="90"/>
      <c r="V24" s="6"/>
      <c r="W24" s="6"/>
      <c r="X24" s="6"/>
    </row>
    <row r="25" spans="2:24" ht="12.75">
      <c r="B25" s="6"/>
      <c r="C25" s="6" t="s">
        <v>120</v>
      </c>
      <c r="D25" s="6" t="s">
        <v>55</v>
      </c>
      <c r="E25" s="6"/>
      <c r="F25" s="6"/>
      <c r="G25" s="96">
        <f>(FASLRO*(1-'Hypothèses coûts'!D55)+'Hypothèses coûts'!D55*FASLRO12)/('Hypothèses coûts'!D54)</f>
        <v>386.06666666666666</v>
      </c>
      <c r="H25" s="6" t="s">
        <v>53</v>
      </c>
      <c r="I25" s="90"/>
      <c r="J25" s="6"/>
      <c r="K25" s="6"/>
      <c r="L25" s="6"/>
      <c r="M25" s="6"/>
      <c r="N25" s="6"/>
      <c r="O25" s="90"/>
      <c r="P25" s="6"/>
      <c r="Q25" s="6"/>
      <c r="R25" s="6"/>
      <c r="S25" s="6"/>
      <c r="T25" s="6"/>
      <c r="U25" s="90"/>
      <c r="V25" s="6"/>
      <c r="W25" s="6"/>
      <c r="X25" s="6"/>
    </row>
    <row r="26" spans="2:24" ht="12.75">
      <c r="B26" s="6"/>
      <c r="C26" s="6" t="s">
        <v>120</v>
      </c>
      <c r="D26" s="6" t="s">
        <v>59</v>
      </c>
      <c r="E26" s="6"/>
      <c r="F26" s="6" t="s">
        <v>44</v>
      </c>
      <c r="G26" s="96">
        <f>(LROCAAFIX-'Hypothèses coûts'!D55*REDLRO12)+(LONGLROCAA*LROCAAKM)</f>
        <v>2604.2</v>
      </c>
      <c r="H26" s="6" t="s">
        <v>53</v>
      </c>
      <c r="I26" s="90"/>
      <c r="J26" s="6"/>
      <c r="K26" s="6"/>
      <c r="L26" s="6"/>
      <c r="M26" s="6"/>
      <c r="N26" s="6"/>
      <c r="O26" s="90"/>
      <c r="P26" s="6"/>
      <c r="Q26" s="6"/>
      <c r="R26" s="6"/>
      <c r="S26" s="6"/>
      <c r="T26" s="6"/>
      <c r="U26" s="90"/>
      <c r="V26" s="6"/>
      <c r="W26" s="6"/>
      <c r="X26" s="6"/>
    </row>
    <row r="27" spans="2:24" ht="12.75">
      <c r="B27" s="6"/>
      <c r="C27" s="6" t="s">
        <v>120</v>
      </c>
      <c r="D27" s="6" t="s">
        <v>59</v>
      </c>
      <c r="E27" s="6"/>
      <c r="F27" s="6" t="s">
        <v>51</v>
      </c>
      <c r="G27" s="96">
        <f>(LROPROFIX-'Hypothèses coûts'!D55*REDLRO12)+LROPROVAR*LONGLROPRO</f>
        <v>1841.7</v>
      </c>
      <c r="H27" s="6" t="s">
        <v>53</v>
      </c>
      <c r="I27" s="90"/>
      <c r="J27" s="6"/>
      <c r="K27" s="6"/>
      <c r="L27" s="6"/>
      <c r="M27" s="6"/>
      <c r="N27" s="6"/>
      <c r="O27" s="90"/>
      <c r="P27" s="6"/>
      <c r="Q27" s="6"/>
      <c r="R27" s="6"/>
      <c r="S27" s="6"/>
      <c r="T27" s="6"/>
      <c r="U27" s="90"/>
      <c r="V27" s="6"/>
      <c r="W27" s="6"/>
      <c r="X27" s="6"/>
    </row>
    <row r="28" spans="2:24" ht="12.75">
      <c r="B28" s="6"/>
      <c r="C28" s="6" t="s">
        <v>156</v>
      </c>
      <c r="D28" s="6" t="s">
        <v>121</v>
      </c>
      <c r="E28" s="6"/>
      <c r="F28" s="6" t="s">
        <v>107</v>
      </c>
      <c r="G28" s="93">
        <f>(G25+REPCAA*G26+REPPRO*G27)/('Hypothèses coûts'!D51*1000000)*100</f>
        <v>0.08599292929292929</v>
      </c>
      <c r="H28" s="6" t="s">
        <v>106</v>
      </c>
      <c r="I28" s="90"/>
      <c r="J28" s="6"/>
      <c r="K28" s="6"/>
      <c r="L28" s="6"/>
      <c r="M28" s="6"/>
      <c r="N28" s="6"/>
      <c r="O28" s="90"/>
      <c r="P28" s="6"/>
      <c r="Q28" s="6"/>
      <c r="R28" s="6"/>
      <c r="S28" s="6"/>
      <c r="T28" s="6"/>
      <c r="U28" s="90"/>
      <c r="V28" s="6"/>
      <c r="W28" s="6"/>
      <c r="X28" s="6"/>
    </row>
    <row r="29" spans="2:24" ht="12.75">
      <c r="B29" s="6"/>
      <c r="C29" s="6"/>
      <c r="D29" s="6"/>
      <c r="E29" s="6"/>
      <c r="F29" s="6"/>
      <c r="G29" s="93"/>
      <c r="H29" s="6"/>
      <c r="I29" s="90"/>
      <c r="J29" s="6"/>
      <c r="K29" s="6"/>
      <c r="L29" s="6"/>
      <c r="M29" s="6"/>
      <c r="N29" s="6"/>
      <c r="O29" s="90"/>
      <c r="P29" s="6"/>
      <c r="Q29" s="6"/>
      <c r="R29" s="6"/>
      <c r="S29" s="6"/>
      <c r="T29" s="6"/>
      <c r="U29" s="90"/>
      <c r="V29" s="6"/>
      <c r="W29" s="6"/>
      <c r="X29" s="6"/>
    </row>
    <row r="30" spans="2:24" ht="12.75">
      <c r="B30" s="21" t="s">
        <v>236</v>
      </c>
      <c r="C30" s="6"/>
      <c r="D30" s="6"/>
      <c r="E30" s="6"/>
      <c r="F30" s="6"/>
      <c r="G30" s="93"/>
      <c r="H30" s="6"/>
      <c r="I30" s="90"/>
      <c r="J30" s="6"/>
      <c r="K30" s="6"/>
      <c r="L30" s="6"/>
      <c r="M30" s="6"/>
      <c r="N30" s="6"/>
      <c r="O30" s="90"/>
      <c r="P30" s="6"/>
      <c r="Q30" s="6"/>
      <c r="R30" s="6"/>
      <c r="S30" s="6"/>
      <c r="T30" s="6"/>
      <c r="U30" s="90"/>
      <c r="V30" s="6"/>
      <c r="W30" s="6"/>
      <c r="X30" s="6"/>
    </row>
    <row r="31" spans="2:24" ht="12.75">
      <c r="B31" s="6"/>
      <c r="C31" s="6" t="s">
        <v>237</v>
      </c>
      <c r="D31" s="6"/>
      <c r="E31" s="6"/>
      <c r="F31" s="6"/>
      <c r="G31" s="164">
        <f>'Hypothèses coûts'!D56</f>
        <v>0.7</v>
      </c>
      <c r="H31" s="6"/>
      <c r="I31" s="90"/>
      <c r="J31" s="6"/>
      <c r="K31" s="6"/>
      <c r="L31" s="6"/>
      <c r="M31" s="6"/>
      <c r="N31" s="6"/>
      <c r="O31" s="90"/>
      <c r="P31" s="6"/>
      <c r="Q31" s="6"/>
      <c r="R31" s="6"/>
      <c r="S31" s="6"/>
      <c r="T31" s="6"/>
      <c r="U31" s="90"/>
      <c r="V31" s="6"/>
      <c r="W31" s="6"/>
      <c r="X31" s="6"/>
    </row>
    <row r="32" spans="2:24" ht="12.75">
      <c r="B32" s="6"/>
      <c r="C32" s="6" t="s">
        <v>238</v>
      </c>
      <c r="D32" s="6"/>
      <c r="E32" s="6"/>
      <c r="F32" s="6"/>
      <c r="G32" s="93">
        <f>G28*G31</f>
        <v>0.060195050505050494</v>
      </c>
      <c r="H32" s="6" t="s">
        <v>106</v>
      </c>
      <c r="I32" s="90"/>
      <c r="J32" s="6"/>
      <c r="K32" s="6"/>
      <c r="L32" s="6"/>
      <c r="M32" s="6"/>
      <c r="N32" s="6"/>
      <c r="O32" s="90"/>
      <c r="P32" s="6"/>
      <c r="Q32" s="6"/>
      <c r="R32" s="6"/>
      <c r="S32" s="6"/>
      <c r="T32" s="6"/>
      <c r="U32" s="90"/>
      <c r="V32" s="6"/>
      <c r="W32" s="6"/>
      <c r="X32" s="6"/>
    </row>
    <row r="33" spans="2:24" ht="12.75">
      <c r="B33" s="6"/>
      <c r="C33" s="6"/>
      <c r="D33" s="6"/>
      <c r="E33" s="6"/>
      <c r="F33" s="6"/>
      <c r="G33" s="6"/>
      <c r="H33" s="6"/>
      <c r="I33" s="90"/>
      <c r="J33" s="6"/>
      <c r="K33" s="6"/>
      <c r="L33" s="6"/>
      <c r="M33" s="6"/>
      <c r="N33" s="6"/>
      <c r="O33" s="90"/>
      <c r="P33" s="6"/>
      <c r="Q33" s="6"/>
      <c r="R33" s="6"/>
      <c r="S33" s="6"/>
      <c r="T33" s="6"/>
      <c r="U33" s="90"/>
      <c r="V33" s="6"/>
      <c r="W33" s="6"/>
      <c r="X33" s="6"/>
    </row>
    <row r="34" spans="2:24" ht="12.75">
      <c r="B34" s="21" t="s">
        <v>153</v>
      </c>
      <c r="C34" s="6"/>
      <c r="D34" s="6"/>
      <c r="E34" s="6"/>
      <c r="F34" s="6"/>
      <c r="G34" s="6"/>
      <c r="H34" s="6"/>
      <c r="I34" s="90"/>
      <c r="J34" s="6"/>
      <c r="K34" s="6"/>
      <c r="L34" s="6"/>
      <c r="M34" s="6"/>
      <c r="N34" s="6"/>
      <c r="O34" s="90"/>
      <c r="P34" s="6"/>
      <c r="Q34" s="6"/>
      <c r="R34" s="6"/>
      <c r="S34" s="6"/>
      <c r="T34" s="6"/>
      <c r="U34" s="90"/>
      <c r="V34" s="6"/>
      <c r="W34" s="6"/>
      <c r="X34" s="6"/>
    </row>
    <row r="35" spans="2:24" ht="12.75">
      <c r="B35" s="6"/>
      <c r="C35" s="6" t="s">
        <v>235</v>
      </c>
      <c r="D35" s="6"/>
      <c r="E35" s="6"/>
      <c r="F35" s="6"/>
      <c r="G35" s="96">
        <f>'Hypothèses coûts'!D57</f>
        <v>325</v>
      </c>
      <c r="H35" s="6" t="s">
        <v>234</v>
      </c>
      <c r="I35" s="90"/>
      <c r="J35" s="6"/>
      <c r="K35" s="6"/>
      <c r="L35" s="6"/>
      <c r="M35" s="6"/>
      <c r="N35" s="6"/>
      <c r="O35" s="90"/>
      <c r="P35" s="6"/>
      <c r="Q35" s="6"/>
      <c r="R35" s="6"/>
      <c r="S35" s="6"/>
      <c r="T35" s="6"/>
      <c r="U35" s="90"/>
      <c r="V35" s="6"/>
      <c r="W35" s="6"/>
      <c r="X35" s="6"/>
    </row>
    <row r="36" spans="2:24" ht="12.75">
      <c r="B36" s="6"/>
      <c r="C36" s="6" t="s">
        <v>196</v>
      </c>
      <c r="D36" s="6"/>
      <c r="E36" s="6"/>
      <c r="F36" s="6"/>
      <c r="G36" s="87">
        <f>G35*12*100/'Hypothèses coûts'!D51/1000000/12</f>
        <v>0.00984848484848485</v>
      </c>
      <c r="H36" s="6" t="s">
        <v>125</v>
      </c>
      <c r="I36" s="90"/>
      <c r="J36" s="6"/>
      <c r="K36" s="6"/>
      <c r="L36" s="6"/>
      <c r="M36" s="6"/>
      <c r="N36" s="6"/>
      <c r="O36" s="90"/>
      <c r="P36" s="6"/>
      <c r="Q36" s="6"/>
      <c r="R36" s="6"/>
      <c r="S36" s="6"/>
      <c r="T36" s="6"/>
      <c r="U36" s="90"/>
      <c r="V36" s="6"/>
      <c r="W36" s="6"/>
      <c r="X36" s="6"/>
    </row>
    <row r="37" spans="2:24" ht="12.75">
      <c r="B37" s="6"/>
      <c r="C37" s="6" t="s">
        <v>231</v>
      </c>
      <c r="D37" s="6"/>
      <c r="E37" s="6"/>
      <c r="F37" s="6"/>
      <c r="G37" s="94">
        <f>G36</f>
        <v>0.00984848484848485</v>
      </c>
      <c r="H37" s="6" t="s">
        <v>125</v>
      </c>
      <c r="I37" s="90"/>
      <c r="J37" s="6"/>
      <c r="K37" s="6"/>
      <c r="L37" s="6"/>
      <c r="M37" s="6"/>
      <c r="N37" s="6"/>
      <c r="O37" s="90"/>
      <c r="P37" s="6"/>
      <c r="Q37" s="6"/>
      <c r="R37" s="6"/>
      <c r="S37" s="6"/>
      <c r="T37" s="6"/>
      <c r="U37" s="90"/>
      <c r="V37" s="6"/>
      <c r="W37" s="6"/>
      <c r="X37" s="6"/>
    </row>
    <row r="38" spans="2:24" ht="12.75">
      <c r="B38" s="6"/>
      <c r="C38" s="6"/>
      <c r="D38" s="6"/>
      <c r="E38" s="6"/>
      <c r="F38" s="6"/>
      <c r="G38" s="6"/>
      <c r="H38" s="6"/>
      <c r="I38" s="90"/>
      <c r="J38" s="6"/>
      <c r="K38" s="6"/>
      <c r="L38" s="6"/>
      <c r="M38" s="6"/>
      <c r="N38" s="6"/>
      <c r="O38" s="90"/>
      <c r="P38" s="6"/>
      <c r="Q38" s="6"/>
      <c r="R38" s="6"/>
      <c r="S38" s="6"/>
      <c r="T38" s="6"/>
      <c r="U38" s="90"/>
      <c r="V38" s="6"/>
      <c r="W38" s="6"/>
      <c r="X38" s="6"/>
    </row>
    <row r="39" spans="2:24" ht="12.75">
      <c r="B39" s="21" t="s">
        <v>136</v>
      </c>
      <c r="C39" s="6"/>
      <c r="D39" s="6"/>
      <c r="E39" s="6"/>
      <c r="F39" s="6"/>
      <c r="G39" s="6"/>
      <c r="H39" s="6"/>
      <c r="I39" s="90"/>
      <c r="J39" s="6"/>
      <c r="K39" s="6"/>
      <c r="L39" s="6"/>
      <c r="M39" s="6"/>
      <c r="N39" s="6"/>
      <c r="O39" s="90"/>
      <c r="P39" s="6"/>
      <c r="Q39" s="6"/>
      <c r="R39" s="6"/>
      <c r="S39" s="6"/>
      <c r="T39" s="6"/>
      <c r="U39" s="90"/>
      <c r="V39" s="6"/>
      <c r="W39" s="6"/>
      <c r="X39" s="6"/>
    </row>
    <row r="40" spans="2:24" ht="12.75">
      <c r="B40" s="6"/>
      <c r="C40" s="6" t="s">
        <v>241</v>
      </c>
      <c r="D40" s="6"/>
      <c r="E40" s="6"/>
      <c r="F40" s="6"/>
      <c r="G40" s="94">
        <f>'Hypothèses coûts'!D46*G37+('Hypothèses coûts'!D47*G28)+'Hypothèses coûts'!D48*G32</f>
        <v>0.033856792929292924</v>
      </c>
      <c r="H40" s="6" t="s">
        <v>106</v>
      </c>
      <c r="I40" s="90"/>
      <c r="J40" s="6"/>
      <c r="K40" s="6"/>
      <c r="L40" s="6"/>
      <c r="M40" s="6"/>
      <c r="N40" s="6"/>
      <c r="O40" s="90"/>
      <c r="P40" s="6"/>
      <c r="Q40" s="6"/>
      <c r="R40" s="6"/>
      <c r="S40" s="6"/>
      <c r="T40" s="6"/>
      <c r="U40" s="90"/>
      <c r="V40" s="6"/>
      <c r="W40" s="6"/>
      <c r="X40" s="6"/>
    </row>
    <row r="41" spans="2:24" ht="12.75">
      <c r="B41" s="6"/>
      <c r="C41" s="6"/>
      <c r="D41" s="6"/>
      <c r="E41" s="6"/>
      <c r="F41" s="6"/>
      <c r="G41" s="6"/>
      <c r="H41" s="6"/>
      <c r="I41" s="90"/>
      <c r="J41" s="6"/>
      <c r="K41" s="6"/>
      <c r="L41" s="6"/>
      <c r="M41" s="6"/>
      <c r="N41" s="6"/>
      <c r="O41" s="90"/>
      <c r="P41" s="6"/>
      <c r="Q41" s="6"/>
      <c r="R41" s="6"/>
      <c r="S41" s="6"/>
      <c r="T41" s="6"/>
      <c r="U41" s="90"/>
      <c r="V41" s="6"/>
      <c r="W41" s="6"/>
      <c r="X41" s="6"/>
    </row>
    <row r="42" spans="2:24" ht="12.75">
      <c r="B42" s="3"/>
      <c r="C42" s="3" t="s">
        <v>279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ht="12.75">
      <c r="B43" s="6"/>
      <c r="H43" s="6"/>
      <c r="I43" s="6"/>
      <c r="J43" s="6"/>
      <c r="U43" s="6"/>
      <c r="W43" s="6"/>
      <c r="X43" s="6"/>
    </row>
    <row r="44" spans="2:24" ht="12.75">
      <c r="B44" s="21" t="s">
        <v>254</v>
      </c>
      <c r="H44" s="6"/>
      <c r="I44" s="6"/>
      <c r="J44" s="6"/>
      <c r="U44" s="6"/>
      <c r="W44" s="6"/>
      <c r="X44" s="6"/>
    </row>
    <row r="45" spans="2:24" ht="12.75">
      <c r="B45" s="6"/>
      <c r="C45" s="29" t="s">
        <v>94</v>
      </c>
      <c r="E45" s="81">
        <f>'Hypothèses coûts'!D78</f>
        <v>9</v>
      </c>
      <c r="F45" s="6" t="s">
        <v>95</v>
      </c>
      <c r="G45" s="6"/>
      <c r="H45" s="6"/>
      <c r="J45" s="29"/>
      <c r="N45" s="79"/>
      <c r="O45" s="6"/>
      <c r="P45" s="2"/>
      <c r="U45" s="6"/>
      <c r="W45" s="6"/>
      <c r="X45" s="6"/>
    </row>
    <row r="46" spans="2:24" ht="12.75">
      <c r="B46" s="6"/>
      <c r="C46" s="29" t="s">
        <v>186</v>
      </c>
      <c r="E46" s="79">
        <f>'Tarifs d''interconnexion'!G30</f>
        <v>1106.5</v>
      </c>
      <c r="F46" s="6" t="s">
        <v>56</v>
      </c>
      <c r="G46" s="6"/>
      <c r="H46" s="6"/>
      <c r="J46" s="29"/>
      <c r="N46" s="81"/>
      <c r="O46" s="6"/>
      <c r="P46" s="2"/>
      <c r="U46" s="6"/>
      <c r="W46" s="6"/>
      <c r="X46" s="6"/>
    </row>
    <row r="47" spans="2:24" ht="12.75">
      <c r="B47" s="6"/>
      <c r="C47" s="29" t="s">
        <v>187</v>
      </c>
      <c r="E47" s="79">
        <f>'Tarifs d''interconnexion'!G31</f>
        <v>201.5</v>
      </c>
      <c r="F47" s="6" t="s">
        <v>62</v>
      </c>
      <c r="G47" s="6"/>
      <c r="H47" s="6"/>
      <c r="J47" s="29"/>
      <c r="N47" s="81"/>
      <c r="O47" s="6"/>
      <c r="U47" s="6"/>
      <c r="W47" s="6"/>
      <c r="X47" s="6"/>
    </row>
    <row r="48" spans="2:24" ht="12.75">
      <c r="B48" s="6"/>
      <c r="C48" s="29" t="s">
        <v>193</v>
      </c>
      <c r="E48" s="79">
        <f>'Tarifs d''interconnexion'!G32</f>
        <v>7.5</v>
      </c>
      <c r="F48" s="6" t="s">
        <v>62</v>
      </c>
      <c r="G48" s="6"/>
      <c r="H48" s="6"/>
      <c r="J48" s="29"/>
      <c r="N48" s="87"/>
      <c r="O48" s="6"/>
      <c r="P48" s="2"/>
      <c r="U48" s="6"/>
      <c r="W48" s="6"/>
      <c r="X48" s="6"/>
    </row>
    <row r="49" spans="2:24" ht="12.75">
      <c r="B49" s="6"/>
      <c r="C49" s="29" t="s">
        <v>204</v>
      </c>
      <c r="E49" s="81">
        <f>'Tarifs d''interconnexion'!G33</f>
        <v>45</v>
      </c>
      <c r="F49" s="6" t="s">
        <v>62</v>
      </c>
      <c r="G49" s="6"/>
      <c r="H49" s="6"/>
      <c r="J49" s="29"/>
      <c r="N49" s="28"/>
      <c r="O49" s="6"/>
      <c r="P49" s="2"/>
      <c r="U49" s="6"/>
      <c r="W49" s="6"/>
      <c r="X49" s="6"/>
    </row>
    <row r="50" spans="2:24" ht="12.75">
      <c r="B50" s="6"/>
      <c r="C50" s="29" t="s">
        <v>228</v>
      </c>
      <c r="E50" s="28">
        <f>'Hypothèses coûts'!D68</f>
        <v>1.5</v>
      </c>
      <c r="F50" s="6" t="s">
        <v>92</v>
      </c>
      <c r="G50" s="45"/>
      <c r="H50" s="6"/>
      <c r="J50" s="29"/>
      <c r="O50" s="28"/>
      <c r="P50" s="6"/>
      <c r="U50" s="6"/>
      <c r="W50" s="6"/>
      <c r="X50" s="6"/>
    </row>
    <row r="51" spans="2:24" ht="12.75">
      <c r="B51" s="6"/>
      <c r="C51" s="29" t="s">
        <v>185</v>
      </c>
      <c r="E51" s="79">
        <f>'Hypothèses coûts'!D67</f>
        <v>3</v>
      </c>
      <c r="F51" s="6" t="s">
        <v>97</v>
      </c>
      <c r="G51" s="6"/>
      <c r="H51" s="6"/>
      <c r="J51" s="2"/>
      <c r="K51" s="2"/>
      <c r="O51" s="100"/>
      <c r="P51" s="2"/>
      <c r="U51" s="6"/>
      <c r="W51" s="6"/>
      <c r="X51" s="6"/>
    </row>
    <row r="52" spans="2:24" ht="12.75">
      <c r="B52" s="6"/>
      <c r="C52" s="29" t="s">
        <v>227</v>
      </c>
      <c r="E52" s="79">
        <f>E46/E51+(E47+E48*E45+E49)*12</f>
        <v>4136.833333333333</v>
      </c>
      <c r="F52" s="6" t="s">
        <v>53</v>
      </c>
      <c r="G52" s="6"/>
      <c r="H52" s="6"/>
      <c r="J52" s="2"/>
      <c r="K52" s="2"/>
      <c r="O52" s="105"/>
      <c r="P52" s="2"/>
      <c r="U52" s="6"/>
      <c r="W52" s="6"/>
      <c r="X52" s="6"/>
    </row>
    <row r="53" spans="2:24" ht="12.75">
      <c r="B53" s="6"/>
      <c r="C53" s="2" t="s">
        <v>196</v>
      </c>
      <c r="E53" s="102">
        <f>E52/(E50*1000000)*100</f>
        <v>0.27578888888888886</v>
      </c>
      <c r="F53" s="2" t="s">
        <v>106</v>
      </c>
      <c r="G53" s="6"/>
      <c r="H53" s="6"/>
      <c r="J53" s="2"/>
      <c r="K53" s="2"/>
      <c r="O53" s="102"/>
      <c r="P53" s="2"/>
      <c r="U53" s="6"/>
      <c r="W53" s="6"/>
      <c r="X53" s="6"/>
    </row>
    <row r="54" spans="2:24" ht="12.75">
      <c r="B54" s="6"/>
      <c r="C54" s="89"/>
      <c r="D54" s="6"/>
      <c r="Q54" s="6"/>
      <c r="S54" s="6"/>
      <c r="T54" s="6"/>
      <c r="U54" s="6"/>
      <c r="V54" s="21"/>
      <c r="W54" s="21"/>
      <c r="X54" s="23"/>
    </row>
    <row r="55" spans="2:24" ht="12.75">
      <c r="B55" s="143" t="s">
        <v>188</v>
      </c>
      <c r="D55" s="6"/>
      <c r="E55" s="6"/>
      <c r="Q55" s="6"/>
      <c r="S55" s="6"/>
      <c r="T55" s="6"/>
      <c r="U55" s="6"/>
      <c r="V55" s="6"/>
      <c r="W55" s="6"/>
      <c r="X55" s="109"/>
    </row>
    <row r="56" spans="2:24" ht="12.75">
      <c r="B56" s="6"/>
      <c r="C56" s="29" t="s">
        <v>185</v>
      </c>
      <c r="E56" s="79">
        <f>'Hypothèses coûts'!D67</f>
        <v>3</v>
      </c>
      <c r="F56" s="6" t="s">
        <v>97</v>
      </c>
      <c r="L56" s="2"/>
      <c r="Q56" s="6"/>
      <c r="S56" s="6"/>
      <c r="T56" s="6"/>
      <c r="U56" s="6"/>
      <c r="V56" s="6"/>
      <c r="W56" s="6"/>
      <c r="X56" s="109"/>
    </row>
    <row r="57" spans="2:24" ht="12.75">
      <c r="B57" s="6"/>
      <c r="C57" s="29" t="s">
        <v>189</v>
      </c>
      <c r="E57" s="81">
        <f>'Hypothèses coûts'!D69</f>
        <v>30</v>
      </c>
      <c r="F57" s="6"/>
      <c r="L57" s="2"/>
      <c r="Q57" s="6"/>
      <c r="S57" s="6"/>
      <c r="T57" s="6"/>
      <c r="U57" s="6"/>
      <c r="V57" s="6"/>
      <c r="W57" s="6"/>
      <c r="X57" s="109"/>
    </row>
    <row r="58" spans="2:24" ht="12.75">
      <c r="B58" s="6"/>
      <c r="C58" s="29" t="s">
        <v>55</v>
      </c>
      <c r="E58" s="81">
        <f>'Hypothèses coûts'!D70</f>
        <v>640.29</v>
      </c>
      <c r="F58" s="6" t="s">
        <v>56</v>
      </c>
      <c r="Q58" s="6"/>
      <c r="S58" s="6"/>
      <c r="T58" s="6"/>
      <c r="U58" s="6"/>
      <c r="V58" s="6"/>
      <c r="W58" s="6"/>
      <c r="X58" s="109"/>
    </row>
    <row r="59" spans="2:24" ht="12.75">
      <c r="B59" s="6"/>
      <c r="C59" s="29" t="s">
        <v>190</v>
      </c>
      <c r="E59" s="87">
        <f>'Hypothèses coûts'!D71</f>
        <v>16.8</v>
      </c>
      <c r="F59" s="6" t="s">
        <v>62</v>
      </c>
      <c r="L59" s="2"/>
      <c r="Q59" s="6"/>
      <c r="S59" s="6"/>
      <c r="T59" s="6"/>
      <c r="U59" s="6"/>
      <c r="V59" s="6"/>
      <c r="W59" s="6"/>
      <c r="X59" s="109"/>
    </row>
    <row r="60" spans="2:24" ht="12.75">
      <c r="B60" s="6"/>
      <c r="C60" s="29" t="s">
        <v>191</v>
      </c>
      <c r="E60" s="79">
        <f>'Hypothèses coûts'!D72</f>
        <v>6048</v>
      </c>
      <c r="F60" s="6" t="s">
        <v>53</v>
      </c>
      <c r="L60" s="2"/>
      <c r="O60" s="202"/>
      <c r="Q60" s="6"/>
      <c r="S60" s="6"/>
      <c r="T60" s="6"/>
      <c r="U60" s="6"/>
      <c r="V60" s="21"/>
      <c r="W60" s="23"/>
      <c r="X60" s="6"/>
    </row>
    <row r="61" spans="2:24" ht="12.75">
      <c r="B61" s="6"/>
      <c r="C61" s="29" t="s">
        <v>192</v>
      </c>
      <c r="E61" s="79">
        <f>E58/E56+E60</f>
        <v>6261.43</v>
      </c>
      <c r="F61" s="6" t="s">
        <v>53</v>
      </c>
      <c r="L61" s="149"/>
      <c r="Q61" s="6"/>
      <c r="S61" s="6"/>
      <c r="T61" s="6"/>
      <c r="U61" s="6"/>
      <c r="V61" s="6"/>
      <c r="W61" s="6"/>
      <c r="X61" s="90"/>
    </row>
    <row r="62" spans="2:24" ht="12.75">
      <c r="B62" s="6"/>
      <c r="C62" s="29" t="s">
        <v>194</v>
      </c>
      <c r="E62" s="28">
        <f>E61/(E63*1000000)*100</f>
        <v>0.41742866666666667</v>
      </c>
      <c r="F62" s="6" t="s">
        <v>106</v>
      </c>
      <c r="L62" s="2"/>
      <c r="Q62" s="6"/>
      <c r="S62" s="6"/>
      <c r="T62" s="6"/>
      <c r="U62" s="6"/>
      <c r="V62" s="6"/>
      <c r="W62" s="6"/>
      <c r="X62" s="145"/>
    </row>
    <row r="63" spans="2:24" ht="12.75">
      <c r="B63" s="6"/>
      <c r="C63" s="29" t="s">
        <v>261</v>
      </c>
      <c r="E63" s="28">
        <f>'Hypothèses coûts'!D68</f>
        <v>1.5</v>
      </c>
      <c r="F63" s="6" t="s">
        <v>92</v>
      </c>
      <c r="G63" s="6"/>
      <c r="H63" s="6"/>
      <c r="J63" s="29"/>
      <c r="O63" s="28"/>
      <c r="P63" s="6"/>
      <c r="U63" s="6"/>
      <c r="W63" s="6"/>
      <c r="X63" s="6"/>
    </row>
    <row r="64" spans="2:24" ht="12.75">
      <c r="B64" s="6"/>
      <c r="F64" s="95"/>
      <c r="G64" s="6"/>
      <c r="H64" s="6"/>
      <c r="U64" s="6"/>
      <c r="W64" s="6"/>
      <c r="X64" s="6"/>
    </row>
    <row r="65" spans="2:24" ht="12.75">
      <c r="B65" s="21" t="s">
        <v>258</v>
      </c>
      <c r="C65" s="29"/>
      <c r="D65" s="23"/>
      <c r="E65" s="2" t="s">
        <v>256</v>
      </c>
      <c r="F65" s="23"/>
      <c r="I65" s="2"/>
      <c r="J65" s="2"/>
      <c r="K65" s="2"/>
      <c r="P65" s="2"/>
      <c r="U65" s="6"/>
      <c r="W65" s="6"/>
      <c r="X65" s="6"/>
    </row>
    <row r="66" spans="3:24" ht="12.75">
      <c r="C66" s="163" t="s">
        <v>292</v>
      </c>
      <c r="F66" s="79">
        <f>E52</f>
        <v>4136.833333333333</v>
      </c>
      <c r="P66" s="2"/>
      <c r="T66" s="109"/>
      <c r="U66" s="6"/>
      <c r="W66" s="6"/>
      <c r="X66" s="6"/>
    </row>
    <row r="67" spans="3:24" ht="12.75">
      <c r="C67" s="6" t="s">
        <v>202</v>
      </c>
      <c r="F67" s="96">
        <f>'Hypothèses coûts'!D73</f>
        <v>500</v>
      </c>
      <c r="G67" s="6"/>
      <c r="H67" s="2"/>
      <c r="U67" s="6"/>
      <c r="W67" s="6"/>
      <c r="X67" s="6"/>
    </row>
    <row r="68" spans="3:24" ht="12.75">
      <c r="C68" s="6" t="s">
        <v>197</v>
      </c>
      <c r="F68" s="79">
        <f>'Hypothèses coûts'!D74*'Coût collecte'!F71</f>
        <v>688.7573</v>
      </c>
      <c r="U68" s="6"/>
      <c r="W68" s="6"/>
      <c r="X68" s="6"/>
    </row>
    <row r="69" spans="3:24" ht="12.75">
      <c r="C69" s="6" t="s">
        <v>154</v>
      </c>
      <c r="F69" s="79">
        <f>'Hypothèses coûts'!D75*('Coût collecte'!F67+'Coût collecte'!F68)</f>
        <v>47.550292</v>
      </c>
      <c r="U69" s="6"/>
      <c r="W69" s="6"/>
      <c r="X69" s="6"/>
    </row>
    <row r="70" spans="3:24" ht="12.75">
      <c r="C70" s="2" t="s">
        <v>205</v>
      </c>
      <c r="F70" s="158">
        <f>SUM(F66:F69)</f>
        <v>5373.140925333333</v>
      </c>
      <c r="U70" s="6"/>
      <c r="W70" s="6"/>
      <c r="X70" s="6"/>
    </row>
    <row r="71" spans="3:24" ht="12.75">
      <c r="C71" s="29" t="s">
        <v>257</v>
      </c>
      <c r="F71" s="79">
        <f>E61</f>
        <v>6261.43</v>
      </c>
      <c r="U71" s="6"/>
      <c r="W71" s="6"/>
      <c r="X71" s="6"/>
    </row>
    <row r="72" spans="7:24" ht="12.75">
      <c r="G72" s="2"/>
      <c r="W72" s="6"/>
      <c r="X72" s="6"/>
    </row>
    <row r="73" spans="2:24" ht="12.75">
      <c r="B73" s="99" t="s">
        <v>259</v>
      </c>
      <c r="G73" s="2"/>
      <c r="W73" s="6"/>
      <c r="X73" s="6"/>
    </row>
    <row r="74" spans="3:24" ht="12.75">
      <c r="C74" s="2" t="s">
        <v>206</v>
      </c>
      <c r="D74" s="2"/>
      <c r="E74" s="2"/>
      <c r="F74" s="100">
        <f>MAX(0,F70-F71)</f>
        <v>0</v>
      </c>
      <c r="G74" s="2"/>
      <c r="T74" s="151"/>
      <c r="W74" s="6"/>
      <c r="X74" s="6"/>
    </row>
    <row r="75" spans="3:24" ht="12.75">
      <c r="C75" s="143" t="s">
        <v>198</v>
      </c>
      <c r="E75" s="2"/>
      <c r="F75" s="94">
        <f>F74/(E63*1000000)*100</f>
        <v>0</v>
      </c>
      <c r="G75" s="6" t="s">
        <v>118</v>
      </c>
      <c r="L75" s="151"/>
      <c r="W75" s="6"/>
      <c r="X75" s="6"/>
    </row>
    <row r="76" spans="2:24" ht="12.75">
      <c r="B76" s="6"/>
      <c r="G76" s="2"/>
      <c r="H76" s="2"/>
      <c r="I76" s="2"/>
      <c r="W76" s="6"/>
      <c r="X76" s="6"/>
    </row>
    <row r="77" spans="2:24" ht="12.75">
      <c r="B77" s="6"/>
      <c r="G77" s="2"/>
      <c r="H77" s="2"/>
      <c r="I77" s="2"/>
      <c r="T77" s="151"/>
      <c r="W77" s="6"/>
      <c r="X77" s="6"/>
    </row>
    <row r="78" spans="12:24" ht="12.75">
      <c r="L78" s="2"/>
      <c r="M78" s="2"/>
      <c r="N78" s="2"/>
      <c r="O78" s="159"/>
      <c r="P78" s="2"/>
      <c r="Q78" s="2"/>
      <c r="R78" s="144"/>
      <c r="S78" s="6"/>
      <c r="T78" s="6"/>
      <c r="W78" s="6"/>
      <c r="X78" s="6"/>
    </row>
    <row r="79" spans="12:24" ht="12.75">
      <c r="L79" s="143"/>
      <c r="N79" s="2"/>
      <c r="O79" s="144"/>
      <c r="P79" s="6"/>
      <c r="W79" s="6"/>
      <c r="X79" s="6"/>
    </row>
    <row r="80" spans="3:24" ht="12.75">
      <c r="C80" s="18"/>
      <c r="D80" s="18"/>
      <c r="E80" s="18"/>
      <c r="F80" s="18"/>
      <c r="G80" s="6"/>
      <c r="H80" s="2"/>
      <c r="I80" s="6"/>
      <c r="L80" s="6"/>
      <c r="M80" s="6"/>
      <c r="N80" s="6"/>
      <c r="O80" s="6"/>
      <c r="W80" s="6"/>
      <c r="X80" s="6"/>
    </row>
    <row r="81" spans="3:24" ht="12.75">
      <c r="C81" s="23"/>
      <c r="D81" s="23"/>
      <c r="E81" s="6"/>
      <c r="F81" s="23"/>
      <c r="G81" s="6"/>
      <c r="H81" s="2"/>
      <c r="I81" s="6"/>
      <c r="L81" s="6"/>
      <c r="M81" s="6"/>
      <c r="N81" s="144"/>
      <c r="O81" s="6"/>
      <c r="W81" s="6"/>
      <c r="X81" s="6"/>
    </row>
    <row r="82" spans="3:24" ht="12.75">
      <c r="C82" s="6"/>
      <c r="D82" s="6"/>
      <c r="E82" s="6"/>
      <c r="F82" s="23"/>
      <c r="G82" s="6"/>
      <c r="H82" s="2"/>
      <c r="I82" s="6"/>
      <c r="L82" s="6"/>
      <c r="M82" s="6"/>
      <c r="N82" s="6"/>
      <c r="O82" s="6"/>
      <c r="W82" s="6"/>
      <c r="X82" s="6"/>
    </row>
    <row r="83" spans="3:24" ht="12.75">
      <c r="C83" s="97"/>
      <c r="D83" s="6"/>
      <c r="E83" s="6"/>
      <c r="F83" s="23"/>
      <c r="G83" s="6"/>
      <c r="H83" s="2"/>
      <c r="I83" s="6"/>
      <c r="L83" s="6"/>
      <c r="M83" s="6"/>
      <c r="N83" s="6"/>
      <c r="O83" s="6"/>
      <c r="W83" s="6"/>
      <c r="X83" s="6"/>
    </row>
    <row r="84" spans="3:24" ht="12.75">
      <c r="C84" s="97"/>
      <c r="D84" s="6"/>
      <c r="E84" s="6"/>
      <c r="F84" s="23"/>
      <c r="G84" s="6"/>
      <c r="H84" s="2"/>
      <c r="I84" s="6"/>
      <c r="L84" s="6"/>
      <c r="M84" s="6"/>
      <c r="N84" s="6"/>
      <c r="O84" s="6"/>
      <c r="W84" s="6"/>
      <c r="X84" s="6"/>
    </row>
    <row r="85" spans="3:24" ht="12.75">
      <c r="C85" s="6"/>
      <c r="D85" s="73"/>
      <c r="E85" s="6"/>
      <c r="F85" s="23"/>
      <c r="G85" s="6"/>
      <c r="H85" s="2"/>
      <c r="I85" s="6"/>
      <c r="L85" s="6"/>
      <c r="M85" s="6"/>
      <c r="N85" s="6"/>
      <c r="O85" s="6"/>
      <c r="W85" s="6"/>
      <c r="X85" s="6"/>
    </row>
    <row r="86" spans="3:24" ht="12.75">
      <c r="C86" s="6"/>
      <c r="D86" s="6"/>
      <c r="E86" s="6"/>
      <c r="F86" s="73"/>
      <c r="G86" s="6"/>
      <c r="H86" s="2"/>
      <c r="I86" s="6"/>
      <c r="L86" s="6"/>
      <c r="M86" s="6"/>
      <c r="N86" s="6"/>
      <c r="O86" s="6"/>
      <c r="W86" s="6"/>
      <c r="X86" s="6"/>
    </row>
    <row r="87" spans="3:24" ht="12.75">
      <c r="C87" s="6"/>
      <c r="D87" s="6"/>
      <c r="E87" s="6"/>
      <c r="F87" s="73"/>
      <c r="G87" s="6"/>
      <c r="H87" s="2"/>
      <c r="I87" s="6"/>
      <c r="L87" s="6"/>
      <c r="M87" s="6"/>
      <c r="N87" s="6"/>
      <c r="O87" s="6"/>
      <c r="W87" s="6"/>
      <c r="X87" s="6"/>
    </row>
    <row r="88" spans="3:24" ht="12.75">
      <c r="C88" s="2"/>
      <c r="D88" s="2"/>
      <c r="L88" s="6"/>
      <c r="M88" s="6"/>
      <c r="N88" s="6"/>
      <c r="O88" s="6"/>
      <c r="W88" s="6"/>
      <c r="X88" s="6"/>
    </row>
    <row r="89" spans="11:24" ht="12.75">
      <c r="K89" s="6"/>
      <c r="L89" s="6"/>
      <c r="M89" s="6"/>
      <c r="N89" s="6"/>
      <c r="O89" s="90"/>
      <c r="P89" s="6"/>
      <c r="Q89" s="6"/>
      <c r="R89" s="6"/>
      <c r="S89" s="6"/>
      <c r="T89" s="6"/>
      <c r="U89" s="90"/>
      <c r="V89" s="6"/>
      <c r="W89" s="6"/>
      <c r="X89" s="6"/>
    </row>
    <row r="90" spans="11:24" ht="12.75">
      <c r="K90" s="6"/>
      <c r="L90" s="6"/>
      <c r="M90" s="6"/>
      <c r="N90" s="6"/>
      <c r="O90" s="90"/>
      <c r="P90" s="6"/>
      <c r="Q90" s="6"/>
      <c r="R90" s="6"/>
      <c r="S90" s="6"/>
      <c r="T90" s="6"/>
      <c r="U90" s="90"/>
      <c r="V90" s="6"/>
      <c r="W90" s="6"/>
      <c r="X90" s="6"/>
    </row>
    <row r="91" spans="11:24" ht="12.75">
      <c r="K91" s="6"/>
      <c r="L91" s="6"/>
      <c r="M91" s="6"/>
      <c r="N91" s="6"/>
      <c r="O91" s="90"/>
      <c r="P91" s="6"/>
      <c r="Q91" s="6"/>
      <c r="R91" s="6"/>
      <c r="S91" s="6"/>
      <c r="T91" s="6"/>
      <c r="U91" s="90"/>
      <c r="V91" s="6"/>
      <c r="W91" s="6"/>
      <c r="X91" s="6"/>
    </row>
    <row r="92" spans="11:24" ht="12.75">
      <c r="K92" s="6"/>
      <c r="L92" s="6"/>
      <c r="M92" s="6"/>
      <c r="N92" s="144"/>
      <c r="O92" s="90"/>
      <c r="P92" s="6"/>
      <c r="Q92" s="6"/>
      <c r="R92" s="6"/>
      <c r="S92" s="6"/>
      <c r="T92" s="6"/>
      <c r="U92" s="90"/>
      <c r="V92" s="6"/>
      <c r="W92" s="6"/>
      <c r="X92" s="6"/>
    </row>
    <row r="93" spans="2:24" ht="12.75">
      <c r="B93" s="6"/>
      <c r="C93" s="2"/>
      <c r="D93" s="2"/>
      <c r="E93" s="2"/>
      <c r="J93" s="6"/>
      <c r="K93" s="6"/>
      <c r="L93" s="6"/>
      <c r="M93" s="6"/>
      <c r="N93" s="6"/>
      <c r="O93" s="90"/>
      <c r="P93" s="6"/>
      <c r="Q93" s="29"/>
      <c r="R93" s="6"/>
      <c r="S93" s="6"/>
      <c r="T93" s="148"/>
      <c r="U93" s="89"/>
      <c r="X93" s="6"/>
    </row>
    <row r="103" spans="2:24" ht="12.75">
      <c r="B103" s="6"/>
      <c r="C103" s="6"/>
      <c r="D103" s="6"/>
      <c r="E103" s="6"/>
      <c r="F103" s="6"/>
      <c r="G103" s="6"/>
      <c r="H103" s="6"/>
      <c r="I103" s="90"/>
      <c r="J103" s="6"/>
      <c r="K103" s="6"/>
      <c r="L103" s="6"/>
      <c r="M103" s="6"/>
      <c r="N103" s="6"/>
      <c r="O103" s="90"/>
      <c r="P103" s="6"/>
      <c r="Q103" s="6"/>
      <c r="R103" s="6"/>
      <c r="S103" s="6"/>
      <c r="T103" s="6"/>
      <c r="U103" s="90"/>
      <c r="V103" s="6"/>
      <c r="W103" s="6"/>
      <c r="X103" s="6"/>
    </row>
    <row r="104" spans="2:24" ht="12.75">
      <c r="B104" s="6"/>
      <c r="C104" s="6"/>
      <c r="D104" s="6"/>
      <c r="E104" s="6"/>
      <c r="F104" s="6"/>
      <c r="G104" s="6"/>
      <c r="H104" s="6"/>
      <c r="I104" s="90"/>
      <c r="J104" s="6"/>
      <c r="K104" s="6"/>
      <c r="L104" s="6"/>
      <c r="M104" s="6"/>
      <c r="N104" s="6"/>
      <c r="O104" s="90"/>
      <c r="P104" s="6"/>
      <c r="Q104" s="6"/>
      <c r="R104" s="6"/>
      <c r="S104" s="6"/>
      <c r="T104" s="6"/>
      <c r="U104" s="90"/>
      <c r="V104" s="6"/>
      <c r="W104" s="6"/>
      <c r="X104" s="6"/>
    </row>
    <row r="105" spans="2:24" ht="12.75">
      <c r="B105" s="6"/>
      <c r="C105" s="6"/>
      <c r="D105" s="6"/>
      <c r="E105" s="6"/>
      <c r="F105" s="6"/>
      <c r="G105" s="6"/>
      <c r="H105" s="6"/>
      <c r="I105" s="90"/>
      <c r="J105" s="6"/>
      <c r="K105" s="6"/>
      <c r="L105" s="6"/>
      <c r="M105" s="6"/>
      <c r="N105" s="6"/>
      <c r="O105" s="90"/>
      <c r="P105" s="6"/>
      <c r="Q105" s="6"/>
      <c r="R105" s="6"/>
      <c r="S105" s="6"/>
      <c r="T105" s="6"/>
      <c r="U105" s="90"/>
      <c r="V105" s="6"/>
      <c r="W105" s="6"/>
      <c r="X105" s="6"/>
    </row>
    <row r="106" spans="2:24" ht="12.75">
      <c r="B106" s="6"/>
      <c r="C106" s="6"/>
      <c r="D106" s="6"/>
      <c r="E106" s="6"/>
      <c r="F106" s="6"/>
      <c r="G106" s="6"/>
      <c r="H106" s="6"/>
      <c r="I106" s="90"/>
      <c r="J106" s="6"/>
      <c r="K106" s="6"/>
      <c r="L106" s="6"/>
      <c r="M106" s="6"/>
      <c r="N106" s="6"/>
      <c r="O106" s="90"/>
      <c r="P106" s="6"/>
      <c r="Q106" s="6"/>
      <c r="R106" s="6"/>
      <c r="S106" s="6"/>
      <c r="T106" s="6"/>
      <c r="U106" s="90"/>
      <c r="V106" s="6"/>
      <c r="W106" s="6"/>
      <c r="X106" s="6"/>
    </row>
    <row r="107" spans="2:24" ht="12.75">
      <c r="B107" s="6"/>
      <c r="C107" s="6"/>
      <c r="D107" s="6"/>
      <c r="E107" s="6"/>
      <c r="F107" s="6"/>
      <c r="G107" s="6"/>
      <c r="H107" s="6"/>
      <c r="I107" s="90"/>
      <c r="J107" s="6"/>
      <c r="K107" s="6"/>
      <c r="L107" s="6"/>
      <c r="M107" s="6"/>
      <c r="N107" s="6"/>
      <c r="O107" s="90"/>
      <c r="P107" s="6"/>
      <c r="Q107" s="6"/>
      <c r="R107" s="6"/>
      <c r="S107" s="6"/>
      <c r="T107" s="6"/>
      <c r="U107" s="90"/>
      <c r="V107" s="6"/>
      <c r="W107" s="6"/>
      <c r="X107" s="6"/>
    </row>
    <row r="108" spans="2:24" ht="12.75">
      <c r="B108" s="6"/>
      <c r="C108" s="6"/>
      <c r="D108" s="6"/>
      <c r="E108" s="6"/>
      <c r="F108" s="6"/>
      <c r="G108" s="6"/>
      <c r="H108" s="6"/>
      <c r="I108" s="90"/>
      <c r="J108" s="6"/>
      <c r="K108" s="6"/>
      <c r="L108" s="6"/>
      <c r="M108" s="6"/>
      <c r="N108" s="6"/>
      <c r="O108" s="90"/>
      <c r="P108" s="6"/>
      <c r="Q108" s="6"/>
      <c r="R108" s="6"/>
      <c r="S108" s="6"/>
      <c r="T108" s="6"/>
      <c r="U108" s="90"/>
      <c r="V108" s="6"/>
      <c r="W108" s="6"/>
      <c r="X108" s="6"/>
    </row>
    <row r="109" spans="2:24" ht="12.75">
      <c r="B109" s="6"/>
      <c r="C109" s="6"/>
      <c r="D109" s="6"/>
      <c r="E109" s="6"/>
      <c r="F109" s="6"/>
      <c r="G109" s="6"/>
      <c r="H109" s="6"/>
      <c r="I109" s="90"/>
      <c r="J109" s="6"/>
      <c r="K109" s="6"/>
      <c r="L109" s="6"/>
      <c r="M109" s="6"/>
      <c r="N109" s="6"/>
      <c r="O109" s="90"/>
      <c r="P109" s="6"/>
      <c r="Q109" s="6"/>
      <c r="R109" s="6"/>
      <c r="S109" s="6"/>
      <c r="T109" s="6"/>
      <c r="U109" s="90"/>
      <c r="V109" s="6"/>
      <c r="W109" s="6"/>
      <c r="X109" s="6"/>
    </row>
    <row r="110" spans="2:24" ht="12.75">
      <c r="B110" s="6"/>
      <c r="C110" s="6"/>
      <c r="D110" s="6"/>
      <c r="E110" s="6"/>
      <c r="F110" s="6"/>
      <c r="G110" s="6"/>
      <c r="H110" s="6"/>
      <c r="I110" s="90"/>
      <c r="J110" s="6"/>
      <c r="K110" s="6"/>
      <c r="L110" s="6"/>
      <c r="M110" s="6"/>
      <c r="N110" s="6"/>
      <c r="O110" s="90"/>
      <c r="P110" s="6"/>
      <c r="Q110" s="6"/>
      <c r="R110" s="6"/>
      <c r="S110" s="6"/>
      <c r="T110" s="6"/>
      <c r="U110" s="90"/>
      <c r="V110" s="6"/>
      <c r="W110" s="6"/>
      <c r="X110" s="6"/>
    </row>
    <row r="111" spans="2:24" ht="12.75">
      <c r="B111" s="6"/>
      <c r="C111" s="6"/>
      <c r="D111" s="6"/>
      <c r="E111" s="6"/>
      <c r="F111" s="6"/>
      <c r="G111" s="6"/>
      <c r="H111" s="6"/>
      <c r="I111" s="90"/>
      <c r="J111" s="6"/>
      <c r="K111" s="6"/>
      <c r="L111" s="6"/>
      <c r="M111" s="6"/>
      <c r="N111" s="6"/>
      <c r="O111" s="90"/>
      <c r="P111" s="6"/>
      <c r="Q111" s="6"/>
      <c r="R111" s="6"/>
      <c r="S111" s="6"/>
      <c r="T111" s="6"/>
      <c r="U111" s="90"/>
      <c r="V111" s="6"/>
      <c r="W111" s="6"/>
      <c r="X111" s="6"/>
    </row>
    <row r="112" spans="2:24" ht="12.75">
      <c r="B112" s="6"/>
      <c r="C112" s="6"/>
      <c r="D112" s="6"/>
      <c r="E112" s="6"/>
      <c r="F112" s="6"/>
      <c r="G112" s="6"/>
      <c r="H112" s="6"/>
      <c r="I112" s="90"/>
      <c r="J112" s="6"/>
      <c r="K112" s="6"/>
      <c r="L112" s="6"/>
      <c r="M112" s="6"/>
      <c r="N112" s="6"/>
      <c r="O112" s="90"/>
      <c r="P112" s="6"/>
      <c r="Q112" s="6"/>
      <c r="R112" s="6"/>
      <c r="S112" s="6"/>
      <c r="T112" s="6"/>
      <c r="U112" s="90"/>
      <c r="V112" s="6"/>
      <c r="W112" s="6"/>
      <c r="X112" s="6"/>
    </row>
    <row r="113" spans="2:24" ht="12.75">
      <c r="B113" s="6"/>
      <c r="C113" s="6"/>
      <c r="D113" s="6"/>
      <c r="E113" s="6"/>
      <c r="F113" s="6"/>
      <c r="G113" s="6"/>
      <c r="H113" s="6"/>
      <c r="I113" s="90"/>
      <c r="J113" s="6"/>
      <c r="K113" s="6"/>
      <c r="L113" s="6"/>
      <c r="M113" s="6"/>
      <c r="N113" s="6"/>
      <c r="O113" s="90"/>
      <c r="P113" s="6"/>
      <c r="Q113" s="6"/>
      <c r="R113" s="6"/>
      <c r="S113" s="6"/>
      <c r="T113" s="6"/>
      <c r="U113" s="90"/>
      <c r="V113" s="6"/>
      <c r="W113" s="6"/>
      <c r="X113" s="6"/>
    </row>
    <row r="114" spans="2:24" ht="12.75">
      <c r="B114" s="6"/>
      <c r="C114" s="6"/>
      <c r="D114" s="6"/>
      <c r="E114" s="6"/>
      <c r="F114" s="6"/>
      <c r="G114" s="6"/>
      <c r="H114" s="6"/>
      <c r="I114" s="90"/>
      <c r="J114" s="6"/>
      <c r="K114" s="6"/>
      <c r="L114" s="6"/>
      <c r="M114" s="6"/>
      <c r="N114" s="6"/>
      <c r="O114" s="90"/>
      <c r="P114" s="6"/>
      <c r="Q114" s="6"/>
      <c r="R114" s="6"/>
      <c r="S114" s="6"/>
      <c r="T114" s="6"/>
      <c r="U114" s="90"/>
      <c r="V114" s="6"/>
      <c r="W114" s="6"/>
      <c r="X114" s="6"/>
    </row>
    <row r="115" spans="2:24" ht="12.75">
      <c r="B115" s="6"/>
      <c r="C115" s="6"/>
      <c r="D115" s="6"/>
      <c r="E115" s="6"/>
      <c r="F115" s="6"/>
      <c r="G115" s="6"/>
      <c r="H115" s="6"/>
      <c r="I115" s="90"/>
      <c r="J115" s="6"/>
      <c r="K115" s="6"/>
      <c r="L115" s="6"/>
      <c r="M115" s="6"/>
      <c r="N115" s="6"/>
      <c r="O115" s="90"/>
      <c r="P115" s="6"/>
      <c r="Q115" s="6"/>
      <c r="R115" s="6"/>
      <c r="S115" s="6"/>
      <c r="T115" s="6"/>
      <c r="U115" s="90"/>
      <c r="V115" s="6"/>
      <c r="W115" s="6"/>
      <c r="X115" s="6"/>
    </row>
    <row r="116" spans="2:24" ht="12.75">
      <c r="B116" s="6"/>
      <c r="C116" s="6"/>
      <c r="D116" s="6"/>
      <c r="E116" s="6"/>
      <c r="F116" s="6"/>
      <c r="G116" s="6"/>
      <c r="H116" s="6"/>
      <c r="I116" s="90"/>
      <c r="J116" s="6"/>
      <c r="K116" s="6"/>
      <c r="L116" s="6"/>
      <c r="M116" s="6"/>
      <c r="N116" s="6"/>
      <c r="O116" s="90"/>
      <c r="P116" s="6"/>
      <c r="Q116" s="6"/>
      <c r="R116" s="6"/>
      <c r="S116" s="6"/>
      <c r="T116" s="6"/>
      <c r="U116" s="90"/>
      <c r="V116" s="6"/>
      <c r="W116" s="6"/>
      <c r="X116" s="6"/>
    </row>
    <row r="117" spans="2:24" ht="12.75">
      <c r="B117" s="6"/>
      <c r="C117" s="6"/>
      <c r="D117" s="6"/>
      <c r="E117" s="6"/>
      <c r="F117" s="6"/>
      <c r="G117" s="6"/>
      <c r="H117" s="6"/>
      <c r="I117" s="90"/>
      <c r="J117" s="6"/>
      <c r="K117" s="6"/>
      <c r="L117" s="6"/>
      <c r="M117" s="6"/>
      <c r="N117" s="6"/>
      <c r="O117" s="90"/>
      <c r="P117" s="6"/>
      <c r="Q117" s="6"/>
      <c r="R117" s="6"/>
      <c r="S117" s="6"/>
      <c r="T117" s="6"/>
      <c r="U117" s="90"/>
      <c r="V117" s="6"/>
      <c r="W117" s="6"/>
      <c r="X117" s="6"/>
    </row>
    <row r="118" spans="2:24" ht="12.75">
      <c r="B118" s="6"/>
      <c r="C118" s="6"/>
      <c r="D118" s="6"/>
      <c r="E118" s="6"/>
      <c r="F118" s="6"/>
      <c r="G118" s="6"/>
      <c r="H118" s="6"/>
      <c r="I118" s="90"/>
      <c r="J118" s="6"/>
      <c r="K118" s="6"/>
      <c r="L118" s="6"/>
      <c r="M118" s="6"/>
      <c r="N118" s="6"/>
      <c r="O118" s="90"/>
      <c r="P118" s="6"/>
      <c r="Q118" s="6"/>
      <c r="R118" s="6"/>
      <c r="S118" s="6"/>
      <c r="T118" s="6"/>
      <c r="U118" s="90"/>
      <c r="V118" s="6"/>
      <c r="W118" s="6"/>
      <c r="X118" s="6"/>
    </row>
    <row r="119" spans="2:24" ht="12.75">
      <c r="B119" s="6"/>
      <c r="C119" s="6"/>
      <c r="D119" s="6"/>
      <c r="E119" s="6"/>
      <c r="F119" s="6"/>
      <c r="G119" s="6"/>
      <c r="H119" s="6"/>
      <c r="I119" s="90"/>
      <c r="J119" s="6"/>
      <c r="K119" s="6"/>
      <c r="L119" s="6"/>
      <c r="M119" s="6"/>
      <c r="N119" s="6"/>
      <c r="O119" s="90"/>
      <c r="P119" s="6"/>
      <c r="Q119" s="6"/>
      <c r="R119" s="6"/>
      <c r="S119" s="6"/>
      <c r="T119" s="6"/>
      <c r="U119" s="90"/>
      <c r="V119" s="6"/>
      <c r="W119" s="6"/>
      <c r="X119" s="6"/>
    </row>
    <row r="120" spans="2:24" ht="12.75">
      <c r="B120" s="6"/>
      <c r="C120" s="6"/>
      <c r="D120" s="6"/>
      <c r="E120" s="6"/>
      <c r="F120" s="6"/>
      <c r="G120" s="6"/>
      <c r="H120" s="6"/>
      <c r="I120" s="90"/>
      <c r="J120" s="6"/>
      <c r="K120" s="6"/>
      <c r="L120" s="6"/>
      <c r="M120" s="6"/>
      <c r="N120" s="6"/>
      <c r="O120" s="90"/>
      <c r="P120" s="6"/>
      <c r="Q120" s="6"/>
      <c r="R120" s="6"/>
      <c r="S120" s="6"/>
      <c r="T120" s="6"/>
      <c r="U120" s="90"/>
      <c r="V120" s="6"/>
      <c r="W120" s="6"/>
      <c r="X120" s="6"/>
    </row>
    <row r="121" spans="2:24" ht="12.75">
      <c r="B121" s="6"/>
      <c r="C121" s="6"/>
      <c r="D121" s="6"/>
      <c r="E121" s="6"/>
      <c r="F121" s="6"/>
      <c r="G121" s="6"/>
      <c r="H121" s="6"/>
      <c r="I121" s="90"/>
      <c r="J121" s="6"/>
      <c r="K121" s="6"/>
      <c r="L121" s="6"/>
      <c r="M121" s="6"/>
      <c r="N121" s="6"/>
      <c r="O121" s="90"/>
      <c r="P121" s="6"/>
      <c r="Q121" s="6"/>
      <c r="R121" s="6"/>
      <c r="S121" s="6"/>
      <c r="T121" s="6"/>
      <c r="U121" s="90"/>
      <c r="V121" s="6"/>
      <c r="W121" s="6"/>
      <c r="X121" s="6"/>
    </row>
    <row r="122" spans="2:24" ht="12.75">
      <c r="B122" s="6"/>
      <c r="C122" s="6"/>
      <c r="D122" s="6"/>
      <c r="E122" s="6"/>
      <c r="F122" s="6"/>
      <c r="G122" s="6"/>
      <c r="H122" s="6"/>
      <c r="I122" s="90"/>
      <c r="J122" s="6"/>
      <c r="K122" s="6"/>
      <c r="L122" s="6"/>
      <c r="M122" s="6"/>
      <c r="N122" s="6"/>
      <c r="O122" s="90"/>
      <c r="P122" s="6"/>
      <c r="Q122" s="6"/>
      <c r="R122" s="6"/>
      <c r="S122" s="6"/>
      <c r="T122" s="6"/>
      <c r="U122" s="90"/>
      <c r="V122" s="6"/>
      <c r="W122" s="6"/>
      <c r="X122" s="6"/>
    </row>
    <row r="123" spans="2:24" ht="12.75">
      <c r="B123" s="6"/>
      <c r="C123" s="6"/>
      <c r="D123" s="6"/>
      <c r="E123" s="6"/>
      <c r="F123" s="6"/>
      <c r="G123" s="6"/>
      <c r="H123" s="6"/>
      <c r="I123" s="90"/>
      <c r="J123" s="6"/>
      <c r="K123" s="6"/>
      <c r="L123" s="6"/>
      <c r="M123" s="6"/>
      <c r="N123" s="6"/>
      <c r="O123" s="90"/>
      <c r="P123" s="6"/>
      <c r="Q123" s="6"/>
      <c r="R123" s="6"/>
      <c r="S123" s="6"/>
      <c r="T123" s="6"/>
      <c r="U123" s="90"/>
      <c r="V123" s="6"/>
      <c r="W123" s="6"/>
      <c r="X123" s="6"/>
    </row>
    <row r="124" spans="2:24" ht="12.75">
      <c r="B124" s="6"/>
      <c r="C124" s="6"/>
      <c r="D124" s="6"/>
      <c r="E124" s="6"/>
      <c r="F124" s="6"/>
      <c r="G124" s="6"/>
      <c r="H124" s="6"/>
      <c r="I124" s="90"/>
      <c r="J124" s="6"/>
      <c r="K124" s="6"/>
      <c r="L124" s="6"/>
      <c r="M124" s="6"/>
      <c r="N124" s="6"/>
      <c r="O124" s="90"/>
      <c r="P124" s="6"/>
      <c r="Q124" s="6"/>
      <c r="R124" s="6"/>
      <c r="S124" s="6"/>
      <c r="T124" s="6"/>
      <c r="U124" s="90"/>
      <c r="V124" s="6"/>
      <c r="W124" s="6"/>
      <c r="X124" s="6"/>
    </row>
    <row r="125" spans="2:24" ht="12.75">
      <c r="B125" s="6"/>
      <c r="C125" s="6"/>
      <c r="D125" s="6"/>
      <c r="E125" s="6"/>
      <c r="F125" s="6"/>
      <c r="G125" s="6"/>
      <c r="H125" s="6"/>
      <c r="I125" s="90"/>
      <c r="J125" s="6"/>
      <c r="K125" s="6"/>
      <c r="L125" s="6"/>
      <c r="M125" s="6"/>
      <c r="N125" s="6"/>
      <c r="O125" s="90"/>
      <c r="P125" s="6"/>
      <c r="Q125" s="6"/>
      <c r="R125" s="6"/>
      <c r="S125" s="6"/>
      <c r="T125" s="6"/>
      <c r="U125" s="90"/>
      <c r="V125" s="6"/>
      <c r="W125" s="6"/>
      <c r="X125" s="6"/>
    </row>
    <row r="126" spans="2:24" ht="12.75">
      <c r="B126" s="6"/>
      <c r="C126" s="6"/>
      <c r="D126" s="6"/>
      <c r="E126" s="6"/>
      <c r="F126" s="6"/>
      <c r="G126" s="6"/>
      <c r="H126" s="6"/>
      <c r="I126" s="90"/>
      <c r="J126" s="6"/>
      <c r="K126" s="6"/>
      <c r="L126" s="6"/>
      <c r="M126" s="6"/>
      <c r="N126" s="6"/>
      <c r="O126" s="90"/>
      <c r="P126" s="6"/>
      <c r="Q126" s="6"/>
      <c r="R126" s="6"/>
      <c r="S126" s="6"/>
      <c r="T126" s="6"/>
      <c r="U126" s="90"/>
      <c r="V126" s="6"/>
      <c r="W126" s="6"/>
      <c r="X126" s="6"/>
    </row>
    <row r="127" spans="2:24" ht="12.75">
      <c r="B127" s="6"/>
      <c r="C127" s="6"/>
      <c r="D127" s="6"/>
      <c r="E127" s="6"/>
      <c r="F127" s="6"/>
      <c r="G127" s="6"/>
      <c r="H127" s="6"/>
      <c r="I127" s="90"/>
      <c r="J127" s="6"/>
      <c r="K127" s="6"/>
      <c r="L127" s="6"/>
      <c r="M127" s="6"/>
      <c r="N127" s="6"/>
      <c r="O127" s="90"/>
      <c r="P127" s="6"/>
      <c r="Q127" s="6"/>
      <c r="R127" s="6"/>
      <c r="S127" s="6"/>
      <c r="T127" s="6"/>
      <c r="U127" s="90"/>
      <c r="V127" s="6"/>
      <c r="W127" s="6"/>
      <c r="X127" s="6"/>
    </row>
    <row r="128" spans="2:24" ht="12.75">
      <c r="B128" s="6"/>
      <c r="C128" s="6"/>
      <c r="D128" s="6"/>
      <c r="E128" s="6"/>
      <c r="F128" s="6"/>
      <c r="G128" s="6"/>
      <c r="H128" s="6"/>
      <c r="I128" s="90"/>
      <c r="J128" s="6"/>
      <c r="K128" s="6"/>
      <c r="L128" s="6"/>
      <c r="M128" s="6"/>
      <c r="N128" s="6"/>
      <c r="O128" s="90"/>
      <c r="P128" s="6"/>
      <c r="Q128" s="6"/>
      <c r="R128" s="6"/>
      <c r="S128" s="6"/>
      <c r="T128" s="6"/>
      <c r="U128" s="90"/>
      <c r="V128" s="6"/>
      <c r="W128" s="6"/>
      <c r="X128" s="6"/>
    </row>
    <row r="129" spans="2:24" ht="12.75">
      <c r="B129" s="6"/>
      <c r="C129" s="6"/>
      <c r="D129" s="6"/>
      <c r="E129" s="6"/>
      <c r="F129" s="6"/>
      <c r="G129" s="6"/>
      <c r="H129" s="6"/>
      <c r="I129" s="90"/>
      <c r="J129" s="6"/>
      <c r="K129" s="6"/>
      <c r="L129" s="6"/>
      <c r="M129" s="6"/>
      <c r="N129" s="6"/>
      <c r="O129" s="90"/>
      <c r="P129" s="6"/>
      <c r="Q129" s="6"/>
      <c r="R129" s="6"/>
      <c r="S129" s="6"/>
      <c r="T129" s="6"/>
      <c r="U129" s="90"/>
      <c r="V129" s="6"/>
      <c r="W129" s="6"/>
      <c r="X129" s="6"/>
    </row>
    <row r="130" spans="2:2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</sheetData>
  <sheetProtection sheet="1" objects="1" scenarios="1"/>
  <mergeCells count="3">
    <mergeCell ref="H4:L4"/>
    <mergeCell ref="N4:R4"/>
    <mergeCell ref="T4:X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B2:X11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.7109375" style="2" customWidth="1"/>
    <col min="3" max="16384" width="11.421875" style="2" customWidth="1"/>
  </cols>
  <sheetData>
    <row r="1" ht="18" customHeight="1"/>
    <row r="2" spans="2:24" ht="11.25">
      <c r="B2" s="3"/>
      <c r="C2" s="3" t="s">
        <v>126</v>
      </c>
      <c r="D2" s="3"/>
      <c r="E2" s="3"/>
      <c r="F2" s="3"/>
      <c r="G2" s="3"/>
      <c r="H2" s="3"/>
      <c r="I2" s="3"/>
      <c r="J2" s="3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4" spans="6:9" ht="11.25">
      <c r="F4" s="2" t="s">
        <v>130</v>
      </c>
      <c r="G4" s="2" t="s">
        <v>132</v>
      </c>
      <c r="I4" s="203" t="s">
        <v>131</v>
      </c>
    </row>
    <row r="5" spans="2:10" ht="11.25">
      <c r="B5" s="99" t="s">
        <v>127</v>
      </c>
      <c r="D5" s="99"/>
      <c r="F5" s="101">
        <f>'Hypothèses coûts'!D5</f>
        <v>0.1</v>
      </c>
      <c r="G5" s="2">
        <v>1</v>
      </c>
      <c r="H5" s="101"/>
      <c r="I5" s="103">
        <f>F5*G5</f>
        <v>0.1</v>
      </c>
      <c r="J5" s="99" t="s">
        <v>118</v>
      </c>
    </row>
    <row r="6" spans="2:10" ht="11.25">
      <c r="B6" s="99" t="s">
        <v>128</v>
      </c>
      <c r="D6" s="99"/>
      <c r="F6" s="101">
        <f>'Hypothèses coûts'!D5</f>
        <v>0.1</v>
      </c>
      <c r="G6" s="2">
        <v>2</v>
      </c>
      <c r="H6" s="101"/>
      <c r="I6" s="183">
        <f>F6*G6</f>
        <v>0.2</v>
      </c>
      <c r="J6" s="99" t="s">
        <v>118</v>
      </c>
    </row>
    <row r="7" spans="3:4" ht="11.25">
      <c r="C7" s="99"/>
      <c r="D7" s="99"/>
    </row>
    <row r="8" spans="2:9" ht="11.25">
      <c r="B8" s="99" t="s">
        <v>129</v>
      </c>
      <c r="D8" s="99"/>
      <c r="F8" s="2" t="s">
        <v>137</v>
      </c>
      <c r="I8" s="2" t="s">
        <v>136</v>
      </c>
    </row>
    <row r="9" spans="6:10" ht="11.25">
      <c r="F9" s="2" t="s">
        <v>30</v>
      </c>
      <c r="G9" s="104">
        <f>'Hypothèses coûts'!D11</f>
        <v>0.75</v>
      </c>
      <c r="I9" s="103">
        <f>SUMPRODUCT(G9:G10,I5:I6)</f>
        <v>0.125</v>
      </c>
      <c r="J9" s="99" t="s">
        <v>118</v>
      </c>
    </row>
    <row r="10" spans="6:7" ht="11.25">
      <c r="F10" s="2" t="s">
        <v>31</v>
      </c>
      <c r="G10" s="104">
        <f>'Hypothèses coûts'!D12</f>
        <v>0.25</v>
      </c>
    </row>
    <row r="12" spans="2:11" ht="11.25">
      <c r="B12" s="3"/>
      <c r="C12" s="3" t="s">
        <v>138</v>
      </c>
      <c r="D12" s="3"/>
      <c r="E12" s="3"/>
      <c r="F12" s="3"/>
      <c r="G12" s="3"/>
      <c r="H12" s="3"/>
      <c r="I12" s="3"/>
      <c r="J12" s="3"/>
      <c r="K12" s="98"/>
    </row>
    <row r="14" spans="6:9" ht="11.25">
      <c r="F14" s="2" t="s">
        <v>130</v>
      </c>
      <c r="G14" s="2" t="s">
        <v>139</v>
      </c>
      <c r="I14" s="2" t="s">
        <v>90</v>
      </c>
    </row>
    <row r="15" spans="2:10" ht="11.25">
      <c r="B15" s="99" t="s">
        <v>127</v>
      </c>
      <c r="D15" s="99"/>
      <c r="F15" s="101">
        <f>'Hypothèses coûts'!D8</f>
        <v>0.08</v>
      </c>
      <c r="G15" s="2">
        <f>2</f>
        <v>2</v>
      </c>
      <c r="H15" s="101"/>
      <c r="I15" s="103">
        <f>F15*G15</f>
        <v>0.16</v>
      </c>
      <c r="J15" s="99" t="s">
        <v>118</v>
      </c>
    </row>
    <row r="17" spans="2:4" ht="11.25">
      <c r="B17" s="99" t="s">
        <v>128</v>
      </c>
      <c r="D17" s="99"/>
    </row>
    <row r="18" spans="3:10" ht="11.25">
      <c r="C18" s="2" t="s">
        <v>267</v>
      </c>
      <c r="D18" s="99"/>
      <c r="I18" s="2">
        <f>'Hypothèses coûts'!D18</f>
        <v>0</v>
      </c>
      <c r="J18" s="2" t="s">
        <v>56</v>
      </c>
    </row>
    <row r="19" spans="3:10" ht="11.25">
      <c r="C19" s="2" t="s">
        <v>280</v>
      </c>
      <c r="D19" s="99"/>
      <c r="I19" s="2">
        <f>'Hypothèses coûts'!D19</f>
        <v>6800</v>
      </c>
      <c r="J19" s="2" t="s">
        <v>62</v>
      </c>
    </row>
    <row r="20" spans="3:10" ht="11.25">
      <c r="C20" s="2" t="s">
        <v>282</v>
      </c>
      <c r="D20" s="99"/>
      <c r="I20" s="2">
        <f>'Hypothèses coûts'!D20</f>
        <v>0</v>
      </c>
      <c r="J20" s="2" t="s">
        <v>62</v>
      </c>
    </row>
    <row r="21" spans="3:10" ht="11.25">
      <c r="C21" s="2" t="s">
        <v>283</v>
      </c>
      <c r="D21" s="99"/>
      <c r="I21" s="100">
        <f>I18/'Hypothèses coûts'!D16+12*(I19+I20)</f>
        <v>81600</v>
      </c>
      <c r="J21" s="2" t="s">
        <v>53</v>
      </c>
    </row>
    <row r="22" spans="3:9" ht="11.25">
      <c r="C22" s="2" t="s">
        <v>140</v>
      </c>
      <c r="I22" s="101">
        <f>'Hypothèses coûts'!D15</f>
        <v>63</v>
      </c>
    </row>
    <row r="23" spans="3:10" ht="11.25">
      <c r="C23" s="2" t="s">
        <v>141</v>
      </c>
      <c r="I23" s="105">
        <f>I21/I22</f>
        <v>1295.2380952380952</v>
      </c>
      <c r="J23" s="2" t="s">
        <v>53</v>
      </c>
    </row>
    <row r="24" spans="3:10" ht="11.25">
      <c r="C24" s="2" t="s">
        <v>142</v>
      </c>
      <c r="I24" s="102">
        <f>'Hypothèses coûts'!D17</f>
        <v>3.3</v>
      </c>
      <c r="J24" s="2" t="s">
        <v>92</v>
      </c>
    </row>
    <row r="25" spans="3:10" ht="11.25">
      <c r="C25" s="2" t="s">
        <v>143</v>
      </c>
      <c r="I25" s="165">
        <f>I23/(I24*1000000)</f>
        <v>0.0003924963924963925</v>
      </c>
      <c r="J25" s="2" t="s">
        <v>145</v>
      </c>
    </row>
    <row r="26" spans="3:10" ht="11.25">
      <c r="C26" s="2" t="s">
        <v>144</v>
      </c>
      <c r="I26" s="106">
        <f>I25*100</f>
        <v>0.03924963924963925</v>
      </c>
      <c r="J26" s="99" t="s">
        <v>118</v>
      </c>
    </row>
    <row r="27" spans="3:10" ht="11.25">
      <c r="C27" s="2" t="s">
        <v>246</v>
      </c>
      <c r="I27" s="106">
        <f>I26+I15</f>
        <v>0.19924963924963926</v>
      </c>
      <c r="J27" s="99" t="s">
        <v>118</v>
      </c>
    </row>
    <row r="28" spans="9:10" ht="11.25">
      <c r="I28" s="106"/>
      <c r="J28" s="99"/>
    </row>
    <row r="29" spans="2:6" ht="11.25">
      <c r="B29" s="99" t="s">
        <v>129</v>
      </c>
      <c r="D29" s="99"/>
      <c r="F29" s="2" t="s">
        <v>137</v>
      </c>
    </row>
    <row r="30" spans="6:9" ht="11.25">
      <c r="F30" s="2" t="s">
        <v>30</v>
      </c>
      <c r="G30" s="104">
        <f>'Hypothèses coûts'!D11</f>
        <v>0.75</v>
      </c>
      <c r="I30" s="2" t="s">
        <v>136</v>
      </c>
    </row>
    <row r="31" spans="6:10" ht="11.25">
      <c r="F31" s="2" t="s">
        <v>31</v>
      </c>
      <c r="G31" s="104">
        <f>'Hypothèses coûts'!D12</f>
        <v>0.25</v>
      </c>
      <c r="I31" s="106">
        <f>G30*I15+G31*I27</f>
        <v>0.1698124098124098</v>
      </c>
      <c r="J31" s="99" t="s">
        <v>118</v>
      </c>
    </row>
    <row r="34" ht="11.25">
      <c r="I34" s="307"/>
    </row>
    <row r="35" ht="11.25">
      <c r="I35" s="307"/>
    </row>
    <row r="36" ht="11.25">
      <c r="I36" s="307"/>
    </row>
    <row r="37" ht="11.25">
      <c r="I37" s="307"/>
    </row>
    <row r="38" ht="11.25">
      <c r="I38" s="307"/>
    </row>
    <row r="39" ht="11.25">
      <c r="I39" s="307"/>
    </row>
    <row r="40" ht="11.25">
      <c r="I40" s="307"/>
    </row>
    <row r="41" ht="11.25">
      <c r="I41" s="307"/>
    </row>
    <row r="42" ht="11.25">
      <c r="I42" s="307"/>
    </row>
    <row r="43" ht="11.25">
      <c r="I43" s="307"/>
    </row>
    <row r="44" ht="11.25">
      <c r="I44" s="307"/>
    </row>
    <row r="45" ht="11.25">
      <c r="I45" s="307"/>
    </row>
    <row r="46" ht="11.25">
      <c r="I46" s="307"/>
    </row>
    <row r="47" ht="11.25">
      <c r="I47" s="307"/>
    </row>
    <row r="48" ht="11.25">
      <c r="I48" s="307"/>
    </row>
    <row r="49" ht="11.25">
      <c r="I49" s="307"/>
    </row>
    <row r="50" ht="11.25">
      <c r="I50" s="307"/>
    </row>
    <row r="51" ht="11.25">
      <c r="I51" s="307"/>
    </row>
    <row r="52" ht="11.25">
      <c r="I52" s="307"/>
    </row>
    <row r="53" ht="11.25">
      <c r="I53" s="307"/>
    </row>
    <row r="54" ht="11.25">
      <c r="I54" s="307"/>
    </row>
    <row r="55" ht="11.25">
      <c r="I55" s="307"/>
    </row>
    <row r="56" ht="11.25">
      <c r="I56" s="307"/>
    </row>
    <row r="57" ht="11.25">
      <c r="I57" s="307"/>
    </row>
    <row r="58" ht="11.25">
      <c r="I58" s="307"/>
    </row>
    <row r="59" ht="11.25">
      <c r="I59" s="307"/>
    </row>
    <row r="60" ht="11.25">
      <c r="I60" s="307"/>
    </row>
    <row r="61" ht="11.25">
      <c r="I61" s="307"/>
    </row>
    <row r="62" ht="11.25">
      <c r="I62" s="307"/>
    </row>
    <row r="63" ht="11.25">
      <c r="I63" s="307"/>
    </row>
    <row r="64" ht="11.25">
      <c r="I64" s="307"/>
    </row>
    <row r="65" ht="11.25">
      <c r="I65" s="307"/>
    </row>
    <row r="66" ht="11.25">
      <c r="I66" s="307"/>
    </row>
    <row r="67" ht="11.25">
      <c r="I67" s="307"/>
    </row>
    <row r="68" ht="11.25">
      <c r="I68" s="307"/>
    </row>
    <row r="69" ht="11.25">
      <c r="I69" s="307"/>
    </row>
    <row r="70" ht="11.25">
      <c r="I70" s="307"/>
    </row>
    <row r="71" ht="11.25">
      <c r="I71" s="307"/>
    </row>
    <row r="72" ht="11.25">
      <c r="I72" s="307"/>
    </row>
    <row r="73" ht="11.25">
      <c r="I73" s="307"/>
    </row>
    <row r="74" ht="11.25">
      <c r="I74" s="307"/>
    </row>
    <row r="75" ht="11.25">
      <c r="I75" s="307"/>
    </row>
    <row r="76" ht="11.25">
      <c r="I76" s="307"/>
    </row>
    <row r="77" ht="11.25">
      <c r="I77" s="307"/>
    </row>
    <row r="78" ht="11.25">
      <c r="I78" s="307"/>
    </row>
    <row r="79" ht="11.25">
      <c r="I79" s="307"/>
    </row>
    <row r="80" ht="11.25">
      <c r="I80" s="307"/>
    </row>
    <row r="81" ht="11.25">
      <c r="I81" s="307"/>
    </row>
    <row r="82" ht="11.25">
      <c r="I82" s="307"/>
    </row>
    <row r="83" ht="11.25">
      <c r="I83" s="307"/>
    </row>
    <row r="84" ht="11.25">
      <c r="I84" s="307"/>
    </row>
    <row r="85" ht="11.25">
      <c r="I85" s="307"/>
    </row>
    <row r="86" ht="11.25">
      <c r="I86" s="307"/>
    </row>
    <row r="87" ht="11.25">
      <c r="I87" s="307"/>
    </row>
    <row r="88" ht="11.25">
      <c r="I88" s="307"/>
    </row>
    <row r="89" ht="11.25">
      <c r="I89" s="307"/>
    </row>
    <row r="90" ht="11.25">
      <c r="I90" s="307"/>
    </row>
    <row r="91" ht="11.25">
      <c r="I91" s="307"/>
    </row>
    <row r="92" ht="11.25">
      <c r="I92" s="307"/>
    </row>
    <row r="93" ht="11.25">
      <c r="I93" s="307"/>
    </row>
    <row r="94" ht="11.25">
      <c r="I94" s="307"/>
    </row>
    <row r="95" ht="11.25">
      <c r="I95" s="307"/>
    </row>
    <row r="96" ht="11.25">
      <c r="I96" s="307"/>
    </row>
    <row r="97" ht="11.25">
      <c r="I97" s="307"/>
    </row>
    <row r="98" ht="11.25">
      <c r="I98" s="307"/>
    </row>
    <row r="99" ht="11.25">
      <c r="I99" s="307"/>
    </row>
    <row r="100" ht="11.25">
      <c r="I100" s="307"/>
    </row>
    <row r="101" ht="11.25">
      <c r="I101" s="307"/>
    </row>
    <row r="102" ht="11.25">
      <c r="I102" s="307"/>
    </row>
    <row r="103" ht="11.25">
      <c r="I103" s="307"/>
    </row>
    <row r="104" ht="11.25">
      <c r="I104" s="307"/>
    </row>
    <row r="105" ht="11.25">
      <c r="I105" s="307"/>
    </row>
    <row r="106" ht="11.25">
      <c r="I106" s="307"/>
    </row>
    <row r="107" ht="11.25">
      <c r="I107" s="307"/>
    </row>
    <row r="108" ht="11.25">
      <c r="I108" s="307"/>
    </row>
    <row r="109" ht="11.25">
      <c r="I109" s="307"/>
    </row>
    <row r="110" ht="11.25">
      <c r="I110" s="307"/>
    </row>
    <row r="111" ht="11.25">
      <c r="I111" s="307"/>
    </row>
    <row r="112" ht="11.25">
      <c r="I112" s="307"/>
    </row>
    <row r="113" ht="11.25">
      <c r="I113" s="307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B1:W5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.7109375" style="1" customWidth="1"/>
    <col min="3" max="3" width="28.140625" style="1" customWidth="1"/>
    <col min="4" max="4" width="12.00390625" style="1" customWidth="1"/>
    <col min="5" max="5" width="13.57421875" style="1" customWidth="1"/>
    <col min="6" max="8" width="11.421875" style="1" customWidth="1"/>
    <col min="9" max="9" width="1.7109375" style="1" customWidth="1"/>
    <col min="10" max="11" width="11.421875" style="1" customWidth="1"/>
    <col min="12" max="12" width="4.57421875" style="1" customWidth="1"/>
    <col min="13" max="14" width="11.421875" style="1" customWidth="1"/>
    <col min="15" max="15" width="1.7109375" style="1" customWidth="1"/>
    <col min="16" max="16384" width="11.421875" style="1" customWidth="1"/>
  </cols>
  <sheetData>
    <row r="1" spans="3:17" ht="18" customHeight="1">
      <c r="C1" s="6"/>
      <c r="D1" s="6"/>
      <c r="E1" s="6"/>
      <c r="F1" s="6"/>
      <c r="G1" s="6"/>
      <c r="H1" s="6"/>
      <c r="I1" s="90"/>
      <c r="J1" s="6"/>
      <c r="K1" s="6"/>
      <c r="L1" s="6"/>
      <c r="M1" s="6"/>
      <c r="N1" s="6"/>
      <c r="O1" s="90"/>
      <c r="P1" s="6"/>
      <c r="Q1" s="6"/>
    </row>
    <row r="2" spans="2:17" ht="12.75">
      <c r="B2" s="3"/>
      <c r="C2" s="3" t="s">
        <v>214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s="6"/>
      <c r="C3" s="29"/>
      <c r="D3" s="6"/>
      <c r="E3" s="6"/>
      <c r="F3" s="6"/>
      <c r="G3" s="89"/>
      <c r="H3" s="6"/>
      <c r="I3" s="6"/>
      <c r="J3" s="6"/>
      <c r="K3" s="6"/>
      <c r="L3" s="6"/>
      <c r="M3" s="6"/>
      <c r="N3" s="6"/>
      <c r="O3" s="6"/>
      <c r="P3" s="6"/>
      <c r="Q3" s="6"/>
    </row>
    <row r="4" spans="2:23" ht="12.75">
      <c r="B4" s="6"/>
      <c r="C4" s="29"/>
      <c r="D4" s="6"/>
      <c r="E4" s="6"/>
      <c r="F4" s="89"/>
      <c r="G4" s="332" t="s">
        <v>30</v>
      </c>
      <c r="H4" s="334"/>
      <c r="I4" s="334"/>
      <c r="J4" s="334"/>
      <c r="K4" s="335"/>
      <c r="M4" s="332" t="s">
        <v>31</v>
      </c>
      <c r="N4" s="334"/>
      <c r="O4" s="334"/>
      <c r="P4" s="334"/>
      <c r="Q4" s="335"/>
      <c r="R4" s="23"/>
      <c r="S4" s="23"/>
      <c r="T4" s="23"/>
      <c r="U4" s="23"/>
      <c r="V4" s="23"/>
      <c r="W4" s="23"/>
    </row>
    <row r="5" spans="2:23" ht="12.75">
      <c r="B5" s="6"/>
      <c r="C5" s="29"/>
      <c r="D5" s="6"/>
      <c r="E5" s="6"/>
      <c r="F5" s="89"/>
      <c r="G5" s="6" t="s">
        <v>114</v>
      </c>
      <c r="H5" s="6"/>
      <c r="I5" s="6"/>
      <c r="J5" s="6" t="s">
        <v>117</v>
      </c>
      <c r="K5" s="6"/>
      <c r="L5" s="6"/>
      <c r="M5" s="6" t="s">
        <v>114</v>
      </c>
      <c r="N5" s="6"/>
      <c r="O5" s="6"/>
      <c r="P5" s="6" t="s">
        <v>117</v>
      </c>
      <c r="Q5" s="6"/>
      <c r="R5" s="23"/>
      <c r="S5" s="23"/>
      <c r="T5" s="23"/>
      <c r="U5" s="23"/>
      <c r="V5" s="23"/>
      <c r="W5" s="23"/>
    </row>
    <row r="6" spans="2:23" ht="12.75">
      <c r="B6" s="6"/>
      <c r="C6" s="29"/>
      <c r="D6" s="29"/>
      <c r="E6" s="22" t="s">
        <v>20</v>
      </c>
      <c r="F6" s="6"/>
      <c r="G6" s="297">
        <f>'Profils d''appel'!L12*'Profils d''appel'!D11</f>
        <v>0.53</v>
      </c>
      <c r="H6" s="298">
        <f>'Profils d''appel'!E11</f>
        <v>200</v>
      </c>
      <c r="I6" s="299"/>
      <c r="J6" s="297">
        <f>'Profils d''appel'!L17*'Profils d''appel'!D16</f>
        <v>0.784</v>
      </c>
      <c r="K6" s="298">
        <f>'Profils d''appel'!E16</f>
        <v>140</v>
      </c>
      <c r="L6" s="299"/>
      <c r="M6" s="297">
        <f>'Profils d''appel'!L26*'Profils d''appel'!D24</f>
        <v>0.3</v>
      </c>
      <c r="N6" s="298">
        <f>'Profils d''appel'!E24</f>
        <v>350</v>
      </c>
      <c r="O6" s="299"/>
      <c r="P6" s="297">
        <f>'Profils d''appel'!L30*'Profils d''appel'!D29</f>
        <v>0.776</v>
      </c>
      <c r="Q6" s="298">
        <f>'Profils d''appel'!E29</f>
        <v>175</v>
      </c>
      <c r="R6" s="23"/>
      <c r="S6" s="23"/>
      <c r="T6" s="23"/>
      <c r="U6" s="23"/>
      <c r="V6" s="23"/>
      <c r="W6" s="23"/>
    </row>
    <row r="7" spans="2:23" ht="12.75">
      <c r="B7" s="6"/>
      <c r="C7" s="29"/>
      <c r="D7" s="29"/>
      <c r="E7" s="24" t="s">
        <v>22</v>
      </c>
      <c r="F7" s="6"/>
      <c r="G7" s="300">
        <f>'Profils d''appel'!M12*'Profils d''appel'!D12</f>
        <v>0.44649999999999995</v>
      </c>
      <c r="H7" s="301">
        <f>'Profils d''appel'!E12</f>
        <v>250</v>
      </c>
      <c r="I7" s="299"/>
      <c r="J7" s="300">
        <f>'Profils d''appel'!M17*'Profils d''appel'!D16</f>
        <v>0.19599999999999995</v>
      </c>
      <c r="K7" s="301">
        <f>'Profils d''appel'!E16</f>
        <v>140</v>
      </c>
      <c r="L7" s="299"/>
      <c r="M7" s="300">
        <f>'Profils d''appel'!M26*'Profils d''appel'!D25</f>
        <v>0.6649999999999999</v>
      </c>
      <c r="N7" s="301">
        <f>'Profils d''appel'!E25</f>
        <v>500</v>
      </c>
      <c r="O7" s="299"/>
      <c r="P7" s="300">
        <f>'Profils d''appel'!M30*'Profils d''appel'!D29</f>
        <v>0.19399999999999995</v>
      </c>
      <c r="Q7" s="301">
        <f>'Profils d''appel'!E29</f>
        <v>175</v>
      </c>
      <c r="R7" s="23"/>
      <c r="S7" s="23"/>
      <c r="T7" s="23"/>
      <c r="U7" s="23"/>
      <c r="V7" s="23"/>
      <c r="W7" s="23"/>
    </row>
    <row r="8" spans="2:23" ht="12.75">
      <c r="B8" s="6"/>
      <c r="C8" s="29"/>
      <c r="D8" s="29"/>
      <c r="E8" s="24" t="s">
        <v>23</v>
      </c>
      <c r="F8" s="6"/>
      <c r="G8" s="300">
        <f>'Profils d''appel'!N12*'Profils d''appel'!D12</f>
        <v>0.02350000000000002</v>
      </c>
      <c r="H8" s="301">
        <f>'Profils d''appel'!E12</f>
        <v>250</v>
      </c>
      <c r="I8" s="299"/>
      <c r="J8" s="300">
        <f>'Profils d''appel'!N17*'Profils d''appel'!D17</f>
        <v>0.020000000000000018</v>
      </c>
      <c r="K8" s="301">
        <f>'Profils d''appel'!E17</f>
        <v>170</v>
      </c>
      <c r="L8" s="299"/>
      <c r="M8" s="300">
        <f>'Profils d''appel'!N26*'Profils d''appel'!D25</f>
        <v>0.03500000000000003</v>
      </c>
      <c r="N8" s="301">
        <f>'Profils d''appel'!E25</f>
        <v>500</v>
      </c>
      <c r="O8" s="299"/>
      <c r="P8" s="300">
        <f>'Profils d''appel'!N30*'Profils d''appel'!D30</f>
        <v>0.030000000000000027</v>
      </c>
      <c r="Q8" s="301">
        <f>'Profils d''appel'!E30</f>
        <v>210</v>
      </c>
      <c r="R8" s="23"/>
      <c r="S8" s="23"/>
      <c r="T8" s="23"/>
      <c r="U8" s="23"/>
      <c r="V8" s="23"/>
      <c r="W8" s="23"/>
    </row>
    <row r="9" spans="2:23" ht="12.75">
      <c r="B9" s="6"/>
      <c r="C9" s="29"/>
      <c r="D9" s="29"/>
      <c r="E9" s="25" t="s">
        <v>15</v>
      </c>
      <c r="F9" s="6"/>
      <c r="G9" s="302">
        <f>SUM(G6:G8)</f>
        <v>1</v>
      </c>
      <c r="H9" s="303">
        <f>1/(G6/H6+G7/H7+G8/H8)</f>
        <v>220.7505518763797</v>
      </c>
      <c r="I9" s="299"/>
      <c r="J9" s="302">
        <f>SUM(J6:J8)</f>
        <v>1</v>
      </c>
      <c r="K9" s="303">
        <f>1/(J6/K6+J7/K7+J8/K8)</f>
        <v>140.49586776859505</v>
      </c>
      <c r="L9" s="299"/>
      <c r="M9" s="302">
        <f>SUM(M6:M8)</f>
        <v>0.9999999999999999</v>
      </c>
      <c r="N9" s="303">
        <f>1/(M6/N6+M7/N7+M8/N8)</f>
        <v>443.0379746835443</v>
      </c>
      <c r="O9" s="299"/>
      <c r="P9" s="302">
        <f>SUM(P6:P8)</f>
        <v>1</v>
      </c>
      <c r="Q9" s="303">
        <f>1/(P6/Q6+P7/Q7+P8/Q8)</f>
        <v>175.8793969849246</v>
      </c>
      <c r="R9" s="23"/>
      <c r="S9" s="23"/>
      <c r="T9" s="23"/>
      <c r="U9" s="23"/>
      <c r="V9" s="23"/>
      <c r="W9" s="23"/>
    </row>
    <row r="10" spans="2:23" ht="12.75">
      <c r="B10" s="21" t="s">
        <v>63</v>
      </c>
      <c r="C10" s="29"/>
      <c r="D10" s="6"/>
      <c r="E10" s="6"/>
      <c r="F10" s="8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3"/>
      <c r="S10" s="23"/>
      <c r="T10" s="23"/>
      <c r="U10" s="23"/>
      <c r="V10" s="23"/>
      <c r="W10" s="23"/>
    </row>
    <row r="11" spans="2:23" ht="12.75">
      <c r="B11" s="6"/>
      <c r="C11" s="29" t="s">
        <v>215</v>
      </c>
      <c r="D11" s="6"/>
      <c r="E11" s="6" t="s">
        <v>44</v>
      </c>
      <c r="F11" s="6" t="s">
        <v>106</v>
      </c>
      <c r="G11" s="6"/>
      <c r="H11" s="87">
        <f>(G6*CACAAHP/(H6/60)+G7*CACAAHC/(H7/60)+G8*CACAAHBN/(H8/60))*100</f>
        <v>0.026225040000000005</v>
      </c>
      <c r="I11" s="6"/>
      <c r="J11" s="6"/>
      <c r="K11" s="87">
        <f>(J6*CACAAHP/(K6/60)+J7*CACAAHC/(K7/60)+J8*CACAAHBN/(K8/60))*100</f>
        <v>0.04478188235294117</v>
      </c>
      <c r="L11" s="6"/>
      <c r="M11" s="6"/>
      <c r="N11" s="87">
        <f>(M6*CACAAHP/(N6/60)+M7*CACAAHC/(N7/60)+M8*CACAAHBN/(N8/60))*100</f>
        <v>0.01189405714285714</v>
      </c>
      <c r="O11" s="6"/>
      <c r="P11" s="6"/>
      <c r="Q11" s="87">
        <f>(P6*CACAAHP/(Q6/60)+P7*CACAAHC/(Q7/60)+P8*CACAAHBN/(Q8/60))*100</f>
        <v>0.03560605714285714</v>
      </c>
      <c r="R11" s="23"/>
      <c r="S11" s="23"/>
      <c r="T11" s="23"/>
      <c r="U11" s="23"/>
      <c r="V11" s="23"/>
      <c r="W11" s="23"/>
    </row>
    <row r="12" spans="2:17" ht="12.75">
      <c r="B12" s="6"/>
      <c r="C12" s="6" t="s">
        <v>215</v>
      </c>
      <c r="D12" s="6"/>
      <c r="E12" s="6" t="s">
        <v>51</v>
      </c>
      <c r="F12" s="6" t="s">
        <v>106</v>
      </c>
      <c r="G12" s="6"/>
      <c r="H12" s="87">
        <f>(G6*CAPROHP/(H6/60)+G7*CAPROHC/(H7/60)+G8*CAPROHBN/(H8/60))*100</f>
        <v>0.08243171999999999</v>
      </c>
      <c r="I12" s="6"/>
      <c r="J12" s="6"/>
      <c r="K12" s="87">
        <f>(J6*CAPROHP/(K6/60)+J7*CAPROHC/(K7/60)+J8*CAPROHBN/(K8/60))*100</f>
        <v>0.14068799999999998</v>
      </c>
      <c r="L12" s="6"/>
      <c r="M12" s="6"/>
      <c r="N12" s="87">
        <f>(M6*CAPROHP/(N6/60)+M7*CAPROHC/(N7/60)+M8*CAPROHBN/(N8/60))*100</f>
        <v>0.037408028571428574</v>
      </c>
      <c r="O12" s="6"/>
      <c r="P12" s="6"/>
      <c r="Q12" s="87">
        <f>(P6*CAPROHP/(Q6/60)+P7*CAPROHC/(Q7/60)+P8*CAPROHBN/(Q8/60))*100</f>
        <v>0.11185817142857146</v>
      </c>
    </row>
    <row r="13" spans="2:17" ht="12.75">
      <c r="B13" s="6"/>
      <c r="C13" s="6" t="s">
        <v>215</v>
      </c>
      <c r="D13" s="6"/>
      <c r="E13" s="6" t="s">
        <v>107</v>
      </c>
      <c r="F13" s="6" t="s">
        <v>106</v>
      </c>
      <c r="G13" s="6"/>
      <c r="H13" s="94">
        <f>H11*REPCAA+H12*REPPRO</f>
        <v>0.037466375999999996</v>
      </c>
      <c r="I13" s="6"/>
      <c r="J13" s="6"/>
      <c r="K13" s="94">
        <f>K11*REPCAA+K12*REPPRO</f>
        <v>0.06396310588235293</v>
      </c>
      <c r="L13" s="6"/>
      <c r="M13" s="6"/>
      <c r="N13" s="94">
        <f>N11*REPCAA+N12*REPPRO</f>
        <v>0.016996851428571425</v>
      </c>
      <c r="O13" s="6"/>
      <c r="P13" s="6"/>
      <c r="Q13" s="94">
        <f>Q11*REPCAA+Q12*REPPRO</f>
        <v>0.050856479999999996</v>
      </c>
    </row>
    <row r="14" spans="2:17" ht="12.75">
      <c r="B14" s="6"/>
      <c r="C14" s="6" t="s">
        <v>216</v>
      </c>
      <c r="D14" s="6"/>
      <c r="E14" s="6" t="s">
        <v>107</v>
      </c>
      <c r="F14" s="6" t="s">
        <v>106</v>
      </c>
      <c r="G14" s="6"/>
      <c r="H14" s="94">
        <f>H13</f>
        <v>0.037466375999999996</v>
      </c>
      <c r="I14" s="6"/>
      <c r="J14" s="6"/>
      <c r="K14" s="94">
        <f>K13</f>
        <v>0.06396310588235293</v>
      </c>
      <c r="L14" s="6"/>
      <c r="M14" s="6"/>
      <c r="N14" s="94">
        <f>N13</f>
        <v>0.016996851428571425</v>
      </c>
      <c r="O14" s="6"/>
      <c r="P14" s="6"/>
      <c r="Q14" s="94">
        <f>Q13</f>
        <v>0.050856479999999996</v>
      </c>
    </row>
    <row r="15" spans="2:17" ht="12.75">
      <c r="B15" s="6"/>
      <c r="C15" s="6" t="s">
        <v>217</v>
      </c>
      <c r="D15" s="6"/>
      <c r="E15" s="6" t="s">
        <v>44</v>
      </c>
      <c r="F15" s="6" t="s">
        <v>106</v>
      </c>
      <c r="G15" s="6"/>
      <c r="H15" s="87">
        <f>(PVCAAHP*G6+PVCAAHC*G7+PVCAAHBN*G8)*100</f>
        <v>0.4107655</v>
      </c>
      <c r="I15" s="6"/>
      <c r="J15" s="6"/>
      <c r="K15" s="87">
        <f>(PVCAAHP*J6+PVCAAHC*J7+PVCAAHBN*J8)*100</f>
        <v>0.455844</v>
      </c>
      <c r="L15" s="6"/>
      <c r="M15" s="6"/>
      <c r="N15" s="87">
        <f>(PVCAAHP*M6+PVCAAHC*M7+PVCAAHBN*M8)*100</f>
        <v>0.36905499999999997</v>
      </c>
      <c r="O15" s="6"/>
      <c r="P15" s="6"/>
      <c r="Q15" s="87">
        <f>(PVCAAHP*P6+PVCAAHC*P7+PVCAAHBN*P8)*100</f>
        <v>0.453366</v>
      </c>
    </row>
    <row r="16" spans="2:17" ht="12.75">
      <c r="B16" s="6"/>
      <c r="C16" s="6" t="s">
        <v>217</v>
      </c>
      <c r="D16" s="6"/>
      <c r="E16" s="6" t="s">
        <v>51</v>
      </c>
      <c r="F16" s="6" t="s">
        <v>106</v>
      </c>
      <c r="G16" s="6"/>
      <c r="H16" s="87">
        <f>(PVPROHP*G6+PVPROHC*G7+PVPROHBN*G8)*100</f>
        <v>0.730955</v>
      </c>
      <c r="I16" s="6"/>
      <c r="J16" s="6"/>
      <c r="K16" s="87">
        <f>(PVPROHP*J6+PVPROHC*J7+PVPROHBN*J8)*100</f>
        <v>0.811376</v>
      </c>
      <c r="L16" s="6"/>
      <c r="M16" s="6"/>
      <c r="N16" s="87">
        <f>(PVPROHP*M6+PVPROHC*M7+PVPROHBN*M8)*100</f>
        <v>0.6565499999999999</v>
      </c>
      <c r="O16" s="6"/>
      <c r="P16" s="6"/>
      <c r="Q16" s="87">
        <f>(PVPROHP*P6+PVPROHC*P7+PVPROHBN*P8)*100</f>
        <v>0.8069639999999999</v>
      </c>
    </row>
    <row r="17" spans="2:17" ht="12.75">
      <c r="B17" s="6"/>
      <c r="C17" s="6" t="s">
        <v>217</v>
      </c>
      <c r="D17" s="6"/>
      <c r="E17" s="6" t="s">
        <v>107</v>
      </c>
      <c r="F17" s="6" t="s">
        <v>106</v>
      </c>
      <c r="G17" s="6"/>
      <c r="H17" s="94">
        <f>H15*REPCAA+H16*REPPRO</f>
        <v>0.4748034</v>
      </c>
      <c r="I17" s="6"/>
      <c r="J17" s="6"/>
      <c r="K17" s="94">
        <f>K15*REPCAA+K16*REPPRO</f>
        <v>0.5269504</v>
      </c>
      <c r="L17" s="6"/>
      <c r="M17" s="6"/>
      <c r="N17" s="94">
        <f>N15*REPCAA+N16*REPPRO</f>
        <v>0.426554</v>
      </c>
      <c r="O17" s="6"/>
      <c r="P17" s="6"/>
      <c r="Q17" s="94">
        <f>Q15*REPCAA+Q16*REPPRO</f>
        <v>0.5240856</v>
      </c>
    </row>
    <row r="18" spans="2:17" ht="12.75">
      <c r="B18" s="6"/>
      <c r="C18" s="6" t="s">
        <v>218</v>
      </c>
      <c r="D18" s="6"/>
      <c r="E18" s="6" t="s">
        <v>107</v>
      </c>
      <c r="F18" s="6" t="s">
        <v>106</v>
      </c>
      <c r="G18" s="6"/>
      <c r="H18" s="94">
        <f>H17*'Hypothèses coûts'!$D38+(1-'Hypothèses coûts'!$D38)*'Hypothèses coûts'!$D39+'Hypothèses coûts'!$D40*'Hypothèses coûts'!$D41</f>
        <v>0.52106323</v>
      </c>
      <c r="I18" s="6"/>
      <c r="J18" s="6"/>
      <c r="K18" s="94">
        <f>K17*'Hypothèses coûts'!$D38+(1-'Hypothèses coûts'!$D38)*'Hypothèses coûts'!$D39+'Hypothèses coûts'!$D40*'Hypothèses coûts'!$D41</f>
        <v>0.57060288</v>
      </c>
      <c r="L18" s="6"/>
      <c r="M18" s="6"/>
      <c r="N18" s="94">
        <f>N17*'Hypothèses coûts'!$D38+(1-'Hypothèses coûts'!$D38)*'Hypothèses coûts'!$D39+'Hypothèses coûts'!$D40*'Hypothèses coûts'!$D41</f>
        <v>0.47522630000000005</v>
      </c>
      <c r="O18" s="6"/>
      <c r="P18" s="6"/>
      <c r="Q18" s="94">
        <f>Q17*'Hypothèses coûts'!$D38+(1-'Hypothèses coûts'!$D38)*'Hypothèses coûts'!$D39+'Hypothèses coûts'!$D40*'Hypothèses coûts'!$D41</f>
        <v>0.5678813200000001</v>
      </c>
    </row>
    <row r="19" spans="2:17" ht="12.75">
      <c r="B19" s="6"/>
      <c r="C19" s="6"/>
      <c r="D19" s="6"/>
      <c r="E19" s="6"/>
      <c r="F19" s="6"/>
      <c r="G19" s="6"/>
      <c r="H19" s="6"/>
      <c r="I19" s="90"/>
      <c r="J19" s="6"/>
      <c r="K19" s="6"/>
      <c r="L19" s="6"/>
      <c r="M19" s="6"/>
      <c r="N19" s="6"/>
      <c r="O19" s="90"/>
      <c r="P19" s="6"/>
      <c r="Q19" s="6"/>
    </row>
    <row r="20" spans="2:17" ht="12.75">
      <c r="B20" s="21" t="s">
        <v>284</v>
      </c>
      <c r="C20" s="6"/>
      <c r="D20" s="6"/>
      <c r="E20" s="6"/>
      <c r="F20" s="6"/>
      <c r="G20" s="81"/>
      <c r="H20" s="6"/>
      <c r="I20" s="90"/>
      <c r="J20" s="6"/>
      <c r="K20" s="6"/>
      <c r="L20" s="6"/>
      <c r="M20" s="6"/>
      <c r="N20" s="6"/>
      <c r="O20" s="90"/>
      <c r="P20" s="6"/>
      <c r="Q20" s="6"/>
    </row>
    <row r="21" spans="2:17" ht="12.75">
      <c r="B21" s="6"/>
      <c r="C21" s="6" t="s">
        <v>233</v>
      </c>
      <c r="D21" s="6"/>
      <c r="E21" s="6"/>
      <c r="F21" s="6"/>
      <c r="G21" s="91"/>
      <c r="H21" s="6"/>
      <c r="I21" s="90"/>
      <c r="J21" s="6"/>
      <c r="K21" s="6"/>
      <c r="L21" s="6"/>
      <c r="M21" s="6"/>
      <c r="N21" s="6"/>
      <c r="O21" s="90"/>
      <c r="P21" s="6"/>
      <c r="Q21" s="6"/>
    </row>
    <row r="22" spans="2:17" ht="12.75">
      <c r="B22" s="6"/>
      <c r="C22" s="6"/>
      <c r="D22" s="6"/>
      <c r="E22" s="6"/>
      <c r="F22" s="6"/>
      <c r="G22" s="92"/>
      <c r="H22" s="6"/>
      <c r="I22" s="90"/>
      <c r="J22" s="6"/>
      <c r="K22" s="6"/>
      <c r="L22" s="6"/>
      <c r="M22" s="6"/>
      <c r="N22" s="6"/>
      <c r="O22" s="90"/>
      <c r="P22" s="6"/>
      <c r="Q22" s="6"/>
    </row>
    <row r="23" spans="2:17" ht="12.75">
      <c r="B23" s="3"/>
      <c r="C23" s="3" t="s">
        <v>123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2.75">
      <c r="B24" s="98"/>
      <c r="D24" s="98"/>
      <c r="E24" s="99"/>
      <c r="F24" s="98"/>
      <c r="G24" s="98"/>
      <c r="H24" s="98"/>
      <c r="I24" s="98"/>
      <c r="K24" s="6"/>
      <c r="L24" s="6"/>
      <c r="M24" s="6"/>
      <c r="N24" s="6"/>
      <c r="O24" s="90"/>
      <c r="P24" s="6"/>
      <c r="Q24" s="6"/>
    </row>
    <row r="25" spans="2:17" ht="12.75">
      <c r="B25" s="21" t="s">
        <v>63</v>
      </c>
      <c r="G25" s="98"/>
      <c r="H25" s="98"/>
      <c r="I25" s="98"/>
      <c r="K25" s="6"/>
      <c r="L25" s="6"/>
      <c r="M25" s="6"/>
      <c r="N25" s="6"/>
      <c r="O25" s="90"/>
      <c r="P25" s="6"/>
      <c r="Q25" s="6"/>
    </row>
    <row r="26" spans="2:17" ht="6" customHeight="1">
      <c r="B26" s="21"/>
      <c r="G26" s="98"/>
      <c r="H26" s="98"/>
      <c r="I26" s="98"/>
      <c r="K26" s="6"/>
      <c r="L26" s="6"/>
      <c r="M26" s="6"/>
      <c r="N26" s="6"/>
      <c r="O26" s="90"/>
      <c r="P26" s="6"/>
      <c r="Q26" s="6"/>
    </row>
    <row r="27" spans="2:17" ht="12.75">
      <c r="B27" s="98"/>
      <c r="C27" s="6" t="s">
        <v>285</v>
      </c>
      <c r="D27" s="52" t="s">
        <v>167</v>
      </c>
      <c r="G27" s="98"/>
      <c r="H27" s="98"/>
      <c r="I27" s="98"/>
      <c r="K27" s="6"/>
      <c r="L27" s="6"/>
      <c r="M27" s="6"/>
      <c r="N27" s="6"/>
      <c r="O27" s="90"/>
      <c r="P27" s="6"/>
      <c r="Q27" s="6"/>
    </row>
    <row r="28" spans="2:17" ht="12.75">
      <c r="B28" s="98"/>
      <c r="C28" s="75" t="s">
        <v>64</v>
      </c>
      <c r="D28" s="180">
        <f>'Tarifs d''interconnexion'!D38</f>
        <v>7.5</v>
      </c>
      <c r="G28" s="98"/>
      <c r="H28" s="98"/>
      <c r="I28" s="98"/>
      <c r="K28" s="6"/>
      <c r="L28" s="6"/>
      <c r="M28" s="6"/>
      <c r="N28" s="6"/>
      <c r="O28" s="90"/>
      <c r="P28" s="6"/>
      <c r="Q28" s="6"/>
    </row>
    <row r="29" spans="2:17" ht="12.75">
      <c r="B29" s="98"/>
      <c r="C29" s="76" t="s">
        <v>65</v>
      </c>
      <c r="D29" s="180">
        <f>'Tarifs d''interconnexion'!D39</f>
        <v>7.5</v>
      </c>
      <c r="G29" s="98"/>
      <c r="H29" s="98"/>
      <c r="I29" s="98"/>
      <c r="K29" s="6"/>
      <c r="L29" s="6"/>
      <c r="M29" s="6"/>
      <c r="N29" s="6"/>
      <c r="O29" s="90"/>
      <c r="P29" s="6"/>
      <c r="Q29" s="6"/>
    </row>
    <row r="30" spans="2:17" ht="12.75">
      <c r="B30" s="6"/>
      <c r="C30" s="77" t="s">
        <v>260</v>
      </c>
      <c r="D30" s="63">
        <f>'Tarifs d''interconnexion'!D40</f>
        <v>9.24</v>
      </c>
      <c r="G30" s="6"/>
      <c r="H30" s="6"/>
      <c r="I30" s="6"/>
      <c r="K30" s="6"/>
      <c r="L30" s="6"/>
      <c r="M30" s="6"/>
      <c r="N30" s="6"/>
      <c r="O30" s="90"/>
      <c r="P30" s="6"/>
      <c r="Q30" s="6"/>
    </row>
    <row r="31" spans="2:9" ht="12.75">
      <c r="B31" s="2"/>
      <c r="C31" s="6"/>
      <c r="D31" s="6"/>
      <c r="E31" s="6"/>
      <c r="F31" s="6"/>
      <c r="G31" s="6"/>
      <c r="H31" s="6"/>
      <c r="I31" s="6"/>
    </row>
    <row r="32" spans="2:17" ht="12.75">
      <c r="B32" s="21" t="s">
        <v>83</v>
      </c>
      <c r="D32" s="6"/>
      <c r="E32" s="6"/>
      <c r="F32" s="87"/>
      <c r="G32" s="6"/>
      <c r="H32" s="6"/>
      <c r="I32" s="6"/>
      <c r="K32" s="6"/>
      <c r="L32" s="6"/>
      <c r="M32" s="6"/>
      <c r="N32" s="6"/>
      <c r="O32" s="90"/>
      <c r="P32" s="6"/>
      <c r="Q32" s="6"/>
    </row>
    <row r="33" spans="2:17" ht="12.75">
      <c r="B33" s="6"/>
      <c r="C33" s="6" t="s">
        <v>286</v>
      </c>
      <c r="D33" s="2"/>
      <c r="E33" s="2"/>
      <c r="F33" s="79">
        <f>'Hypothèses coûts'!D62*1000000</f>
        <v>3300000</v>
      </c>
      <c r="G33" s="6" t="s">
        <v>146</v>
      </c>
      <c r="I33" s="6"/>
      <c r="K33" s="6"/>
      <c r="L33" s="6"/>
      <c r="M33" s="6"/>
      <c r="N33" s="6"/>
      <c r="O33" s="90"/>
      <c r="P33" s="6"/>
      <c r="Q33" s="6"/>
    </row>
    <row r="34" spans="2:17" ht="6" customHeight="1">
      <c r="B34" s="6"/>
      <c r="H34" s="6"/>
      <c r="I34" s="6"/>
      <c r="K34" s="6"/>
      <c r="L34" s="6"/>
      <c r="M34" s="6"/>
      <c r="N34" s="6"/>
      <c r="O34" s="90"/>
      <c r="P34" s="6"/>
      <c r="Q34" s="6"/>
    </row>
    <row r="35" spans="2:17" ht="12.75">
      <c r="B35" s="6"/>
      <c r="C35" s="108"/>
      <c r="D35" s="108" t="s">
        <v>119</v>
      </c>
      <c r="E35" s="155" t="s">
        <v>53</v>
      </c>
      <c r="F35" s="108" t="s">
        <v>203</v>
      </c>
      <c r="G35" s="155" t="s">
        <v>152</v>
      </c>
      <c r="I35" s="6"/>
      <c r="K35" s="6"/>
      <c r="L35" s="6"/>
      <c r="M35" s="6"/>
      <c r="N35" s="6"/>
      <c r="O35" s="90"/>
      <c r="P35" s="6"/>
      <c r="Q35" s="6"/>
    </row>
    <row r="36" spans="2:17" ht="12.75">
      <c r="B36" s="6"/>
      <c r="C36" s="108" t="s">
        <v>150</v>
      </c>
      <c r="D36" s="153"/>
      <c r="E36" s="154">
        <f>'Tarifs d''interconnexion'!D43</f>
        <v>2939</v>
      </c>
      <c r="F36" s="153"/>
      <c r="G36" s="152">
        <f>E36/F33*100</f>
        <v>0.08906060606060606</v>
      </c>
      <c r="I36" s="6"/>
      <c r="J36" s="120"/>
      <c r="K36" s="6"/>
      <c r="L36" s="6"/>
      <c r="M36" s="6"/>
      <c r="N36" s="6"/>
      <c r="O36" s="90"/>
      <c r="P36" s="6"/>
      <c r="Q36" s="6"/>
    </row>
    <row r="37" spans="2:17" ht="12.75">
      <c r="B37" s="6"/>
      <c r="C37" s="108" t="s">
        <v>65</v>
      </c>
      <c r="D37" s="153"/>
      <c r="E37" s="154">
        <f>'Tarifs d''interconnexion'!D44</f>
        <v>2939</v>
      </c>
      <c r="F37" s="153"/>
      <c r="G37" s="152">
        <f>E37/F33*100</f>
        <v>0.08906060606060606</v>
      </c>
      <c r="I37" s="6"/>
      <c r="J37" s="120"/>
      <c r="K37" s="81"/>
      <c r="L37" s="6"/>
      <c r="M37" s="6"/>
      <c r="N37" s="6"/>
      <c r="O37" s="90"/>
      <c r="P37" s="6"/>
      <c r="Q37" s="6"/>
    </row>
    <row r="38" spans="2:17" ht="12.75">
      <c r="B38" s="6"/>
      <c r="C38" s="108" t="s">
        <v>32</v>
      </c>
      <c r="D38" s="153"/>
      <c r="E38" s="154">
        <f>'Tarifs d''interconnexion'!D45</f>
        <v>4487</v>
      </c>
      <c r="F38" s="153"/>
      <c r="G38" s="152">
        <f>E38/F33*100</f>
        <v>0.13596969696969696</v>
      </c>
      <c r="I38" s="6"/>
      <c r="J38" s="120"/>
      <c r="K38" s="81"/>
      <c r="L38" s="6"/>
      <c r="M38" s="6"/>
      <c r="N38" s="6"/>
      <c r="O38" s="90"/>
      <c r="P38" s="6"/>
      <c r="Q38" s="6"/>
    </row>
    <row r="39" spans="2:17" ht="12.75">
      <c r="B39" s="6"/>
      <c r="C39" s="6"/>
      <c r="D39" s="6"/>
      <c r="E39" s="6"/>
      <c r="F39" s="6"/>
      <c r="G39" s="109"/>
      <c r="H39" s="6"/>
      <c r="I39" s="6"/>
      <c r="K39" s="81"/>
      <c r="L39" s="6"/>
      <c r="M39" s="6"/>
      <c r="N39" s="6"/>
      <c r="O39" s="90"/>
      <c r="P39" s="6"/>
      <c r="Q39" s="6"/>
    </row>
    <row r="40" spans="2:17" ht="12.75">
      <c r="B40" s="21" t="s">
        <v>153</v>
      </c>
      <c r="D40" s="6"/>
      <c r="E40" s="6"/>
      <c r="F40" s="6"/>
      <c r="G40" s="6"/>
      <c r="H40" s="6"/>
      <c r="I40" s="6"/>
      <c r="K40" s="6"/>
      <c r="L40" s="6"/>
      <c r="M40" s="6"/>
      <c r="N40" s="6"/>
      <c r="O40" s="90"/>
      <c r="P40" s="6"/>
      <c r="Q40" s="6"/>
    </row>
    <row r="41" spans="2:17" ht="12.75">
      <c r="B41" s="6"/>
      <c r="C41" s="6" t="s">
        <v>287</v>
      </c>
      <c r="F41" s="247">
        <f>'Hypothèses coûts'!D61</f>
        <v>10</v>
      </c>
      <c r="I41" s="6"/>
      <c r="K41" s="6"/>
      <c r="L41" s="6"/>
      <c r="M41" s="6"/>
      <c r="N41" s="6"/>
      <c r="O41" s="90"/>
      <c r="P41" s="6"/>
      <c r="Q41" s="6"/>
    </row>
    <row r="42" spans="2:17" ht="12.75">
      <c r="B42" s="6"/>
      <c r="C42" s="29" t="s">
        <v>288</v>
      </c>
      <c r="F42" s="304">
        <f>'Hypothèses coûts'!D60</f>
        <v>3</v>
      </c>
      <c r="G42" s="248" t="s">
        <v>97</v>
      </c>
      <c r="I42" s="6"/>
      <c r="K42" s="6"/>
      <c r="L42" s="6"/>
      <c r="M42" s="6"/>
      <c r="N42" s="6"/>
      <c r="O42" s="90"/>
      <c r="P42" s="6"/>
      <c r="Q42" s="6"/>
    </row>
    <row r="43" spans="2:17" ht="12.75">
      <c r="B43" s="6"/>
      <c r="F43" s="6"/>
      <c r="G43" s="6"/>
      <c r="H43" s="6"/>
      <c r="I43" s="6"/>
      <c r="K43" s="6"/>
      <c r="L43" s="6"/>
      <c r="M43" s="6"/>
      <c r="N43" s="6"/>
      <c r="O43" s="90"/>
      <c r="P43" s="6"/>
      <c r="Q43" s="6"/>
    </row>
    <row r="44" spans="2:17" ht="12.75">
      <c r="B44" s="6"/>
      <c r="F44" s="146" t="s">
        <v>199</v>
      </c>
      <c r="G44" s="110" t="s">
        <v>151</v>
      </c>
      <c r="H44" s="75" t="s">
        <v>200</v>
      </c>
      <c r="I44" s="6"/>
      <c r="K44" s="6"/>
      <c r="L44" s="6"/>
      <c r="M44" s="6"/>
      <c r="N44" s="6"/>
      <c r="O44" s="90"/>
      <c r="P44" s="6"/>
      <c r="Q44" s="6"/>
    </row>
    <row r="45" spans="2:17" ht="12.75">
      <c r="B45" s="6"/>
      <c r="F45" s="147"/>
      <c r="G45" s="111" t="s">
        <v>68</v>
      </c>
      <c r="H45" s="77" t="s">
        <v>118</v>
      </c>
      <c r="I45" s="6"/>
      <c r="K45" s="6"/>
      <c r="L45" s="6"/>
      <c r="M45" s="6"/>
      <c r="N45" s="6"/>
      <c r="O45" s="90"/>
      <c r="P45" s="6"/>
      <c r="Q45" s="6"/>
    </row>
    <row r="46" spans="2:17" ht="12.75">
      <c r="B46" s="6"/>
      <c r="C46" s="64" t="s">
        <v>150</v>
      </c>
      <c r="D46" s="251"/>
      <c r="E46" s="43"/>
      <c r="F46" s="110"/>
      <c r="G46" s="110"/>
      <c r="H46" s="75"/>
      <c r="I46" s="6"/>
      <c r="K46" s="6"/>
      <c r="L46" s="6"/>
      <c r="M46" s="6"/>
      <c r="N46" s="6"/>
      <c r="O46" s="90"/>
      <c r="P46" s="6"/>
      <c r="Q46" s="6"/>
    </row>
    <row r="47" spans="2:17" ht="12.75" customHeight="1">
      <c r="B47" s="6"/>
      <c r="C47" s="112" t="s">
        <v>55</v>
      </c>
      <c r="D47" s="79">
        <f>'Tarifs d''interconnexion'!E48</f>
        <v>56406</v>
      </c>
      <c r="E47" s="142"/>
      <c r="F47" s="112"/>
      <c r="G47" s="112"/>
      <c r="H47" s="76"/>
      <c r="I47" s="6"/>
      <c r="K47" s="6"/>
      <c r="L47" s="6"/>
      <c r="M47" s="6"/>
      <c r="N47" s="6"/>
      <c r="O47" s="90"/>
      <c r="P47" s="6"/>
      <c r="Q47" s="6"/>
    </row>
    <row r="48" spans="2:17" ht="12.75" customHeight="1">
      <c r="B48" s="6"/>
      <c r="C48" s="111" t="s">
        <v>289</v>
      </c>
      <c r="D48" s="116">
        <f>'Tarifs d''interconnexion'!E49</f>
        <v>9147</v>
      </c>
      <c r="E48" s="117"/>
      <c r="F48" s="118">
        <f>D47/F42+D48</f>
        <v>27949</v>
      </c>
      <c r="G48" s="118">
        <f>F48/F41</f>
        <v>2794.9</v>
      </c>
      <c r="H48" s="119">
        <f>G48/F33*100</f>
        <v>0.08469393939393939</v>
      </c>
      <c r="I48" s="6"/>
      <c r="K48" s="6"/>
      <c r="L48" s="6"/>
      <c r="M48" s="6"/>
      <c r="N48" s="6"/>
      <c r="O48" s="90"/>
      <c r="P48" s="6"/>
      <c r="Q48" s="6"/>
    </row>
    <row r="49" spans="2:17" ht="12.75">
      <c r="B49" s="6"/>
      <c r="C49" s="64" t="s">
        <v>65</v>
      </c>
      <c r="D49" s="251"/>
      <c r="E49" s="43"/>
      <c r="F49" s="249"/>
      <c r="G49" s="249"/>
      <c r="H49" s="250"/>
      <c r="I49" s="6"/>
      <c r="K49" s="6"/>
      <c r="L49" s="6"/>
      <c r="M49" s="6"/>
      <c r="N49" s="6"/>
      <c r="O49" s="90"/>
      <c r="P49" s="6"/>
      <c r="Q49" s="6"/>
    </row>
    <row r="50" spans="2:17" ht="12.75">
      <c r="B50" s="6"/>
      <c r="C50" s="112" t="s">
        <v>55</v>
      </c>
      <c r="D50" s="79">
        <f>'Tarifs d''interconnexion'!E52</f>
        <v>52442</v>
      </c>
      <c r="E50" s="113"/>
      <c r="F50" s="114"/>
      <c r="G50" s="114"/>
      <c r="H50" s="115"/>
      <c r="I50" s="6"/>
      <c r="K50" s="6"/>
      <c r="L50" s="6"/>
      <c r="M50" s="6"/>
      <c r="N50" s="6"/>
      <c r="O50" s="90"/>
      <c r="P50" s="6"/>
      <c r="Q50" s="6"/>
    </row>
    <row r="51" spans="2:17" ht="12.75">
      <c r="B51" s="163"/>
      <c r="C51" s="111" t="s">
        <v>289</v>
      </c>
      <c r="D51" s="116">
        <f>'Tarifs d''interconnexion'!E53</f>
        <v>11434</v>
      </c>
      <c r="E51" s="117"/>
      <c r="F51" s="118">
        <f>D50/F42+D51</f>
        <v>28914.666666666668</v>
      </c>
      <c r="G51" s="118">
        <f>F51/F41</f>
        <v>2891.4666666666667</v>
      </c>
      <c r="H51" s="119">
        <f>G51/F33*100</f>
        <v>0.08762020202020203</v>
      </c>
      <c r="I51" s="6"/>
      <c r="K51" s="6"/>
      <c r="L51" s="6"/>
      <c r="M51" s="6"/>
      <c r="N51" s="6"/>
      <c r="O51" s="90"/>
      <c r="P51" s="6"/>
      <c r="Q51" s="6"/>
    </row>
    <row r="52" spans="2:17" ht="12.75">
      <c r="B52" s="6"/>
      <c r="C52" s="64" t="s">
        <v>269</v>
      </c>
      <c r="D52" s="251"/>
      <c r="E52" s="43"/>
      <c r="F52" s="252"/>
      <c r="G52" s="114"/>
      <c r="H52" s="115"/>
      <c r="I52" s="6"/>
      <c r="J52" s="6"/>
      <c r="K52" s="6"/>
      <c r="L52" s="6"/>
      <c r="M52" s="6"/>
      <c r="N52" s="90"/>
      <c r="O52" s="6"/>
      <c r="P52" s="6"/>
      <c r="Q52" s="6"/>
    </row>
    <row r="53" spans="2:17" ht="12.75">
      <c r="B53" s="6"/>
      <c r="C53" s="112" t="s">
        <v>55</v>
      </c>
      <c r="D53" s="79">
        <f>'Tarifs d''interconnexion'!E56</f>
        <v>56406</v>
      </c>
      <c r="E53" s="113"/>
      <c r="F53" s="253"/>
      <c r="G53" s="114"/>
      <c r="H53" s="115"/>
      <c r="I53" s="6"/>
      <c r="J53" s="6"/>
      <c r="K53" s="6"/>
      <c r="L53" s="6"/>
      <c r="M53" s="6"/>
      <c r="N53" s="90"/>
      <c r="O53" s="6"/>
      <c r="P53" s="6"/>
      <c r="Q53" s="6"/>
    </row>
    <row r="54" spans="2:17" ht="12.75">
      <c r="B54" s="6"/>
      <c r="C54" s="111" t="s">
        <v>289</v>
      </c>
      <c r="D54" s="116">
        <f>'Tarifs d''interconnexion'!E58</f>
        <v>22864</v>
      </c>
      <c r="E54" s="117"/>
      <c r="F54" s="254">
        <f>D53/F42+D54</f>
        <v>41666</v>
      </c>
      <c r="G54" s="118">
        <f>F54/F41</f>
        <v>4166.6</v>
      </c>
      <c r="H54" s="119">
        <f>G54/F33*100</f>
        <v>0.12626060606060607</v>
      </c>
      <c r="I54" s="6"/>
      <c r="J54" s="6"/>
      <c r="K54" s="6"/>
      <c r="L54" s="6"/>
      <c r="M54" s="6"/>
      <c r="N54" s="90"/>
      <c r="O54" s="6"/>
      <c r="P54" s="6"/>
      <c r="Q54" s="6"/>
    </row>
    <row r="55" spans="2:17" ht="12.75">
      <c r="B55" s="98"/>
      <c r="D55" s="98"/>
      <c r="E55" s="99"/>
      <c r="F55" s="98"/>
      <c r="G55" s="98"/>
      <c r="H55" s="98"/>
      <c r="I55" s="98"/>
      <c r="K55" s="6"/>
      <c r="L55" s="6"/>
      <c r="M55" s="6"/>
      <c r="N55" s="6"/>
      <c r="O55" s="90"/>
      <c r="P55" s="6"/>
      <c r="Q55" s="6"/>
    </row>
  </sheetData>
  <sheetProtection sheet="1" objects="1" scenarios="1"/>
  <mergeCells count="2">
    <mergeCell ref="G4:K4"/>
    <mergeCell ref="M4:Q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squeeze téléphonie fixe</dc:title>
  <dc:subject/>
  <dc:creator>ARCEP</dc:creator>
  <cp:keywords/>
  <dc:description/>
  <cp:lastModifiedBy>Jeremiah JUTS</cp:lastModifiedBy>
  <cp:lastPrinted>2006-11-28T09:34:44Z</cp:lastPrinted>
  <dcterms:created xsi:type="dcterms:W3CDTF">2005-09-05T13:01:49Z</dcterms:created>
  <dcterms:modified xsi:type="dcterms:W3CDTF">2007-10-02T08:59:32Z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