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4"/>
  </bookViews>
  <sheets>
    <sheet name="Avertissement" sheetId="1" r:id="rId1"/>
    <sheet name="Offres de références" sheetId="2" r:id="rId2"/>
    <sheet name="Hypothèses et paramètres" sheetId="3" r:id="rId3"/>
    <sheet name="Calculs" sheetId="4" r:id="rId4"/>
    <sheet name="Synthèse" sheetId="5" r:id="rId5"/>
  </sheets>
  <definedNames>
    <definedName name="_xlnm.Print_Area" localSheetId="3">'Calculs'!$A$1:$F$117</definedName>
    <definedName name="_xlnm.Print_Area" localSheetId="4">'Synthèse'!$A$1:$H$41</definedName>
  </definedNames>
  <calcPr fullCalcOnLoad="1"/>
</workbook>
</file>

<file path=xl/comments2.xml><?xml version="1.0" encoding="utf-8"?>
<comments xmlns="http://schemas.openxmlformats.org/spreadsheetml/2006/main">
  <authors>
    <author>Sylvain MOLL</author>
    <author>Cecile GAUBERT</author>
  </authors>
  <commentList>
    <comment ref="F21" authorId="0">
      <text>
        <r>
          <rPr>
            <b/>
            <sz val="8"/>
            <rFont val="Tahoma"/>
            <family val="0"/>
          </rPr>
          <t xml:space="preserve">Rétropolé de l'offre 12/2003
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sz val="8"/>
            <color indexed="10"/>
            <rFont val="Tahoma"/>
            <family val="2"/>
          </rPr>
          <t>Câble multimodule sur devis en 2003
rétropolés de l'offre de déc 2003</t>
        </r>
      </text>
    </comment>
    <comment ref="F41" authorId="0">
      <text>
        <r>
          <rPr>
            <b/>
            <sz val="8"/>
            <color indexed="10"/>
            <rFont val="Tahoma"/>
            <family val="2"/>
          </rPr>
          <t>rétropolés de l'offre de déc 2003</t>
        </r>
      </text>
    </comment>
    <comment ref="F114" authorId="0">
      <text>
        <r>
          <rPr>
            <sz val="8"/>
            <color indexed="10"/>
            <rFont val="Tahoma"/>
            <family val="2"/>
          </rPr>
          <t>rétropolés de l'offre de déc 2003</t>
        </r>
      </text>
    </comment>
    <comment ref="F125" authorId="1">
      <text>
        <r>
          <rPr>
            <sz val="8"/>
            <rFont val="Tahoma"/>
            <family val="0"/>
          </rPr>
          <t>rétropolés de l'offre de déc 2003</t>
        </r>
      </text>
    </comment>
    <comment ref="G170" authorId="0">
      <text>
        <r>
          <rPr>
            <b/>
            <sz val="8"/>
            <rFont val="Tahoma"/>
            <family val="0"/>
          </rPr>
          <t xml:space="preserve">La prestation de LIB a été modifiée, en 2003 et coupée en 2 entre interco et dégroupage.
Pour conserver un périmètre constant, le prix est multiplié par deux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<sst xmlns="http://schemas.openxmlformats.org/spreadsheetml/2006/main" count="410" uniqueCount="210">
  <si>
    <t>Ligne</t>
  </si>
  <si>
    <t>Offre Juin 2002</t>
  </si>
  <si>
    <t>Offre Mars 2005</t>
  </si>
  <si>
    <t>FAS Partiel</t>
  </si>
  <si>
    <t>FAS Total</t>
  </si>
  <si>
    <t>Frais de résilliation Partiel</t>
  </si>
  <si>
    <t>Frais de résilliation Total</t>
  </si>
  <si>
    <t>Tarif mensuel accès partagé</t>
  </si>
  <si>
    <t>Tarif mensuel filtrage</t>
  </si>
  <si>
    <t>Tarif mensuel accès total</t>
  </si>
  <si>
    <t>Frais de commande non conforme</t>
  </si>
  <si>
    <t>Salles de cohabitation</t>
  </si>
  <si>
    <t>Emplacement baie</t>
  </si>
  <si>
    <t>Frais d'aménagement</t>
  </si>
  <si>
    <t>Sur devis</t>
  </si>
  <si>
    <t>Frais de mise à disposition d'un emplacement</t>
  </si>
  <si>
    <t>Redevance mensuelle zone 1</t>
  </si>
  <si>
    <t>Redevance mensuelle zone 2</t>
  </si>
  <si>
    <t>Redevance mensuelle zone 3</t>
  </si>
  <si>
    <t>Redevance mensuelle zone 4</t>
  </si>
  <si>
    <t>Redevance mensuelle zone 5</t>
  </si>
  <si>
    <t>Charges annuelles spécifiques par emplacement pour les salles de cohabitation</t>
  </si>
  <si>
    <t>Energie 48V et Climatisation</t>
  </si>
  <si>
    <t>Tarifs annuels par kW fourni</t>
  </si>
  <si>
    <t>Tarifs annuels par kW fourni avec climatisation</t>
  </si>
  <si>
    <t>Tarif de modification de la puissance commandée</t>
  </si>
  <si>
    <t>Tarifs mensuels Câbles de renvois L804 4/10 (câble le plus courammant utilisé)</t>
  </si>
  <si>
    <t>1 module (€ par mois)</t>
  </si>
  <si>
    <t>2 modules (€ par mois)</t>
  </si>
  <si>
    <t>3 modules (€ par mois)</t>
  </si>
  <si>
    <t>4 modules (€ par mois)</t>
  </si>
  <si>
    <t>5 modules (€ par mois)</t>
  </si>
  <si>
    <t>6 modules (€ par mois)</t>
  </si>
  <si>
    <t>7 modules (€ par mois)</t>
  </si>
  <si>
    <t>8 modules (€ par mois)</t>
  </si>
  <si>
    <t>9 modules (€ par mois)</t>
  </si>
  <si>
    <t>FAS Câbles de renvois L804 4/10</t>
  </si>
  <si>
    <t>Uniformisation du tarif des câbles de renvoi sous la forme d'un tarif mensuel</t>
  </si>
  <si>
    <t>(FAS mensualisé)</t>
  </si>
  <si>
    <t>1 module</t>
  </si>
  <si>
    <t>2 modules</t>
  </si>
  <si>
    <t>3 modules</t>
  </si>
  <si>
    <t>4 modules</t>
  </si>
  <si>
    <t>5 modules</t>
  </si>
  <si>
    <t>6 modules</t>
  </si>
  <si>
    <t>7 modules</t>
  </si>
  <si>
    <t>8 modules</t>
  </si>
  <si>
    <t>9 modules</t>
  </si>
  <si>
    <t>Lissage des coûts des câbles de renvoi (coût par paire)</t>
  </si>
  <si>
    <t>coût mensuel indépendant du nombre d'accès</t>
  </si>
  <si>
    <t>coût mensuel par accès</t>
  </si>
  <si>
    <t>Espaces dédiés</t>
  </si>
  <si>
    <t>Accès du personnel autorisé</t>
  </si>
  <si>
    <t>Coût fixe de l'accès du personnel autorisé</t>
  </si>
  <si>
    <t>Coût par personne</t>
  </si>
  <si>
    <t>Tarif par emplacement mis à disposition de l’opérateur</t>
  </si>
  <si>
    <t>Redevance mensuelle zone  5</t>
  </si>
  <si>
    <t>Prix mensuel par emplacement équipé à 2 kW</t>
  </si>
  <si>
    <t>Prix mensuel par emplacement équipé à 2 kW avec climatisation</t>
  </si>
  <si>
    <t>Prix mensuel par emplacement équipé à 4 kW</t>
  </si>
  <si>
    <t>Prix mensuel par emplacement équipé à 4 kW avec climatisation</t>
  </si>
  <si>
    <t>Prix mensuel par kW commandé</t>
  </si>
  <si>
    <t>Prix mensuel par kW commandé avec cilmatisation</t>
  </si>
  <si>
    <t>Tarifs mensuels Câbles de renvoi L804 4/10</t>
  </si>
  <si>
    <t>FAS Câbles de renvoi L804 4/10</t>
  </si>
  <si>
    <t>(tarif mensuel de l'offre + FAS mensualisés)</t>
  </si>
  <si>
    <t>LIB (A2)</t>
  </si>
  <si>
    <t>Frais d'accès au service (€)</t>
  </si>
  <si>
    <t>Abonnement (€ par mois)</t>
  </si>
  <si>
    <t>Offre de référence</t>
  </si>
  <si>
    <t>Type de dégroupage</t>
  </si>
  <si>
    <t>Carractéristiques du répartiteur</t>
  </si>
  <si>
    <t>Taille du répartiteur (nb LP)</t>
  </si>
  <si>
    <t>Salle ou Espace</t>
  </si>
  <si>
    <t>Type de Zone</t>
  </si>
  <si>
    <t>Nombre de modules</t>
  </si>
  <si>
    <t>Climatisation</t>
  </si>
  <si>
    <t>Carractéristiques du marché</t>
  </si>
  <si>
    <t>Taux de pénétration du DSL</t>
  </si>
  <si>
    <t>Part de marché de l'opérateur sur le marché du DSL</t>
  </si>
  <si>
    <t>Taux de croissance mensuel du dégroupage</t>
  </si>
  <si>
    <t>Durée d'amortissement des FAS (ans)</t>
  </si>
  <si>
    <t>Durée d'amortissement Frais de résilliation (ans)</t>
  </si>
  <si>
    <t>Taux de résilliations facturées</t>
  </si>
  <si>
    <t>Taux de commande non conforme</t>
  </si>
  <si>
    <t>Cohabitation des équipements</t>
  </si>
  <si>
    <t>Coût salle (€ par emplacement et par salle)</t>
  </si>
  <si>
    <t>Durée d'amortissement des salles (ans)</t>
  </si>
  <si>
    <t>Emplacement de baie</t>
  </si>
  <si>
    <t>Durée d'amortissement des frais d'accès emplacement baie (ans)</t>
  </si>
  <si>
    <t>Nombre de DSLAM par emplacement</t>
  </si>
  <si>
    <t>Câbles de renvois</t>
  </si>
  <si>
    <t>Durée d'amortissement FAS Câbles de renvoi (ans)</t>
  </si>
  <si>
    <t>Avance de phase (nombre de mois)</t>
  </si>
  <si>
    <t>Nombre de LIB par emplacement</t>
  </si>
  <si>
    <t>Climatisatiseur (pour 6 emplacements)</t>
  </si>
  <si>
    <t>Coût achat et installation climatiseur pour une salle de cohabitation (€)</t>
  </si>
  <si>
    <t>Durée d'amortissement des climatiseurs (ans)</t>
  </si>
  <si>
    <t>Maintenance (4h/mois) (€/an)</t>
  </si>
  <si>
    <t>Energie</t>
  </si>
  <si>
    <t>Consommation par accès (W)</t>
  </si>
  <si>
    <t>Nombre annuel de modifications de la puissance commandée</t>
  </si>
  <si>
    <t>Accès personnels autorisés</t>
  </si>
  <si>
    <t>Personnel Autorisé</t>
  </si>
  <si>
    <t>DSLAM</t>
  </si>
  <si>
    <t>Coûts achat et installation DSLAM (€)</t>
  </si>
  <si>
    <t>Coût par port du DSLAM</t>
  </si>
  <si>
    <t>Capacité du DSLAM</t>
  </si>
  <si>
    <t>Durée de vie (années)</t>
  </si>
  <si>
    <t>Coût de maintenance (% de l'I)</t>
  </si>
  <si>
    <t>Coût du capital</t>
  </si>
  <si>
    <t>Taux de rémunération du capital</t>
  </si>
  <si>
    <t>Taux de progrès technique</t>
  </si>
  <si>
    <t>Coûts d'overhead</t>
  </si>
  <si>
    <t>coûts communs (% des coûts techniques hors reversements à France Télécom)</t>
  </si>
  <si>
    <t>coûts commerciaux (% des coûts techniques tenant compte des coûts communs)</t>
  </si>
  <si>
    <t>Total</t>
  </si>
  <si>
    <t>Oui</t>
  </si>
  <si>
    <t>Partiel</t>
  </si>
  <si>
    <t>Non</t>
  </si>
  <si>
    <t>Dénombrements (pour mémoire)</t>
  </si>
  <si>
    <t>Nombre de lignes dégroupées par l'opérateur</t>
  </si>
  <si>
    <t>Nb de DSLAM nécessaires à la consommation courante</t>
  </si>
  <si>
    <t>Nb de DSLAM installés</t>
  </si>
  <si>
    <t>Nombre d'emplacements nécessaires à la consommation courante</t>
  </si>
  <si>
    <t>Nombre d'emplacements installés</t>
  </si>
  <si>
    <t>Nombre de câbles de renvoi nécessaires à la consommation courante</t>
  </si>
  <si>
    <t>Nombre de câbles de renvoi installés</t>
  </si>
  <si>
    <t xml:space="preserve">Nombre de LIB </t>
  </si>
  <si>
    <t>Paramètres "financiers"</t>
  </si>
  <si>
    <t>Taux composite</t>
  </si>
  <si>
    <t>Paramètre de mensualisation des FAS de ligne</t>
  </si>
  <si>
    <t>Paramètre de mensualisation des FAS des équipements</t>
  </si>
  <si>
    <t xml:space="preserve">Ligne </t>
  </si>
  <si>
    <t>Coût total Mensuel</t>
  </si>
  <si>
    <t>Coût/mois/accès</t>
  </si>
  <si>
    <t>FAS mensualisés</t>
  </si>
  <si>
    <t>€/mois</t>
  </si>
  <si>
    <t>Frais de résilliation mensualisés</t>
  </si>
  <si>
    <t>Frais de commande non conforme mensualisés</t>
  </si>
  <si>
    <t>Coût total des lignes</t>
  </si>
  <si>
    <t>Annuité</t>
  </si>
  <si>
    <t>€/an/DSLAM</t>
  </si>
  <si>
    <t>Coût de maintenance</t>
  </si>
  <si>
    <t>équivalent FAS annuel mensualisé</t>
  </si>
  <si>
    <t>coût variable du DSLAM à la ligne mensualisé</t>
  </si>
  <si>
    <t>€/mois/ligne</t>
  </si>
  <si>
    <t>coût du DSLAM pour l'ensemble des lignes</t>
  </si>
  <si>
    <t>coût total DSLAM mensuel</t>
  </si>
  <si>
    <t>Coût des emplacements dans les salles de cohabitation</t>
  </si>
  <si>
    <t>Coût annualisé de construction de la salle par emplacement</t>
  </si>
  <si>
    <t>€/an/emplacement</t>
  </si>
  <si>
    <t>Contribution mensualisée à la construction de la salle de cohabitation</t>
  </si>
  <si>
    <t>FAS mensualisés de mise à disposition des emplacements</t>
  </si>
  <si>
    <t>Location mensuelle de l'emplacement</t>
  </si>
  <si>
    <t>Câbles de renvoi L804 4/10</t>
  </si>
  <si>
    <t>récurrent 1 module (€ par mois)</t>
  </si>
  <si>
    <t>récurrent 2 module (€ par mois)</t>
  </si>
  <si>
    <t>récurrent 3 module (€ par mois)</t>
  </si>
  <si>
    <t>récurrent 4 module (€ par mois)</t>
  </si>
  <si>
    <t>récurrent 5 module (€ par mois)</t>
  </si>
  <si>
    <t>récurrent 6 module (€ par mois)</t>
  </si>
  <si>
    <t>récurrent 7 module (€ par mois)</t>
  </si>
  <si>
    <t>récurrent 8 module (€ par mois)</t>
  </si>
  <si>
    <t>récurrent 9 module (€ par mois)</t>
  </si>
  <si>
    <t>Redevance mensuelle pour les câbles de renvois</t>
  </si>
  <si>
    <t>Climatisation (achat, installation, maintenance)</t>
  </si>
  <si>
    <t>Energie 48V</t>
  </si>
  <si>
    <t>Consommation effective</t>
  </si>
  <si>
    <t>Watts</t>
  </si>
  <si>
    <t>Coût variable mensuel du Watt</t>
  </si>
  <si>
    <t>€/kW/mois</t>
  </si>
  <si>
    <t>Coût mensuel de l'énergie consommée</t>
  </si>
  <si>
    <t>FAS énergie mensualisés</t>
  </si>
  <si>
    <t>Coût total mensualisé</t>
  </si>
  <si>
    <t>Sous total salles</t>
  </si>
  <si>
    <t>Coût des emplacements</t>
  </si>
  <si>
    <t>Câbles de renvois L804 4/10</t>
  </si>
  <si>
    <t>Redevance mensuelle pour les câbles de renvoi</t>
  </si>
  <si>
    <t>Coût variable mensuel du KiloWatt</t>
  </si>
  <si>
    <t>€/mois/kW</t>
  </si>
  <si>
    <t>Coût mensuel variable</t>
  </si>
  <si>
    <t>Sous total espace</t>
  </si>
  <si>
    <t>LIB</t>
  </si>
  <si>
    <t>Redevance mensuelle</t>
  </si>
  <si>
    <t>Coût total des LIBs</t>
  </si>
  <si>
    <t>Total des coûts techniques</t>
  </si>
  <si>
    <t>Coût/mois</t>
  </si>
  <si>
    <t>Coûts d'overhead / coûts indirects</t>
  </si>
  <si>
    <t>Coûts commerciaux</t>
  </si>
  <si>
    <t>Coûts communs</t>
  </si>
  <si>
    <t>Coût total</t>
  </si>
  <si>
    <t>Rappel des hypothèses</t>
  </si>
  <si>
    <t xml:space="preserve">Taille du répartiteur </t>
  </si>
  <si>
    <t>Part de marché de l'opérateur</t>
  </si>
  <si>
    <t>Actifs immobilisés</t>
  </si>
  <si>
    <t xml:space="preserve">DSLAM (€) </t>
  </si>
  <si>
    <t>Climatiseur  (€)</t>
  </si>
  <si>
    <t>Frais Non Récurrents</t>
  </si>
  <si>
    <t>Liés à l'emplacement</t>
  </si>
  <si>
    <t>FAS cohabitation</t>
  </si>
  <si>
    <t>FAS environnement (câble, LIB, énergie)</t>
  </si>
  <si>
    <t>Liés à la ligne</t>
  </si>
  <si>
    <t>"FAS" lignes  : FAS+ provision pour frais de résiliation + frais de commande non conforme</t>
  </si>
  <si>
    <t>Frais récurents</t>
  </si>
  <si>
    <t>récurent cohabitation</t>
  </si>
  <si>
    <t>récurrent environnement (LIB, câbles, énergie…)</t>
  </si>
  <si>
    <t>TOTAL hors contribution aux coûts communs et aux coûts commerciaux</t>
  </si>
  <si>
    <t>Contribution aux coûts communs et aux coûts commerciaux</t>
  </si>
  <si>
    <t>TOTAL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</si>
</sst>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.0"/>
    <numFmt numFmtId="165" formatCode="#,##0_ ;\-#,##0\ "/>
    <numFmt numFmtId="166" formatCode="_-* #,##0.00\ [$€]_-;\-* #,##0.00\ [$€]_-;_-* &quot;-&quot;??\ [$€]_-;_-@_-"/>
    <numFmt numFmtId="167" formatCode="0.000"/>
    <numFmt numFmtId="168" formatCode="0.00000"/>
    <numFmt numFmtId="169" formatCode="#,##0.00_ ;\-#,##0.00\ "/>
    <numFmt numFmtId="170" formatCode="0.0%"/>
    <numFmt numFmtId="171" formatCode="#,##0.00\ [$€-1];\-#,##0.00\ [$€-1]"/>
  </numFmts>
  <fonts count="23">
    <font>
      <sz val="10"/>
      <name val="Arial"/>
      <family val="0"/>
    </font>
    <font>
      <b/>
      <sz val="18"/>
      <color indexed="18"/>
      <name val="Times New Roman"/>
      <family val="1"/>
    </font>
    <font>
      <b/>
      <sz val="16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7" fontId="6" fillId="3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4" fontId="8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65" fontId="8" fillId="2" borderId="0" xfId="15" applyNumberFormat="1" applyFont="1" applyFill="1" applyAlignment="1">
      <alignment/>
    </xf>
    <xf numFmtId="3" fontId="8" fillId="2" borderId="0" xfId="15" applyNumberFormat="1" applyFont="1" applyFill="1" applyAlignment="1">
      <alignment/>
    </xf>
    <xf numFmtId="3" fontId="10" fillId="2" borderId="0" xfId="15" applyNumberFormat="1" applyFont="1" applyFill="1" applyAlignment="1">
      <alignment horizontal="right"/>
    </xf>
    <xf numFmtId="3" fontId="11" fillId="2" borderId="0" xfId="15" applyNumberFormat="1" applyFont="1" applyFill="1" applyAlignment="1">
      <alignment/>
    </xf>
    <xf numFmtId="3" fontId="8" fillId="2" borderId="0" xfId="15" applyNumberFormat="1" applyFont="1" applyFill="1" applyAlignment="1">
      <alignment/>
    </xf>
    <xf numFmtId="3" fontId="12" fillId="2" borderId="0" xfId="15" applyNumberFormat="1" applyFont="1" applyFill="1" applyAlignment="1">
      <alignment/>
    </xf>
    <xf numFmtId="1" fontId="8" fillId="2" borderId="0" xfId="0" applyNumberFormat="1" applyFont="1" applyFill="1" applyAlignment="1">
      <alignment/>
    </xf>
    <xf numFmtId="3" fontId="8" fillId="2" borderId="0" xfId="0" applyNumberFormat="1" applyFont="1" applyFill="1" applyAlignment="1">
      <alignment/>
    </xf>
    <xf numFmtId="4" fontId="9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3" fillId="3" borderId="0" xfId="0" applyFont="1" applyFill="1" applyAlignment="1">
      <alignment/>
    </xf>
    <xf numFmtId="0" fontId="18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9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9" fontId="9" fillId="2" borderId="0" xfId="20" applyFont="1" applyFill="1" applyAlignment="1">
      <alignment/>
    </xf>
    <xf numFmtId="9" fontId="9" fillId="2" borderId="0" xfId="0" applyNumberFormat="1" applyFont="1" applyFill="1" applyAlignment="1">
      <alignment/>
    </xf>
    <xf numFmtId="9" fontId="8" fillId="2" borderId="0" xfId="20" applyFont="1" applyFill="1" applyAlignment="1">
      <alignment/>
    </xf>
    <xf numFmtId="3" fontId="9" fillId="2" borderId="0" xfId="15" applyNumberFormat="1" applyFont="1" applyFill="1" applyAlignment="1">
      <alignment/>
    </xf>
    <xf numFmtId="17" fontId="9" fillId="2" borderId="0" xfId="0" applyNumberFormat="1" applyFont="1" applyFill="1" applyAlignment="1">
      <alignment/>
    </xf>
    <xf numFmtId="169" fontId="9" fillId="2" borderId="0" xfId="15" applyNumberFormat="1" applyFont="1" applyFill="1" applyAlignment="1">
      <alignment horizontal="right"/>
    </xf>
    <xf numFmtId="165" fontId="9" fillId="2" borderId="0" xfId="15" applyNumberFormat="1" applyFont="1" applyFill="1" applyAlignment="1">
      <alignment horizontal="right"/>
    </xf>
    <xf numFmtId="20" fontId="0" fillId="2" borderId="0" xfId="0" applyNumberFormat="1" applyFill="1" applyAlignment="1">
      <alignment/>
    </xf>
    <xf numFmtId="170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6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3" fontId="9" fillId="2" borderId="0" xfId="0" applyNumberFormat="1" applyFont="1" applyFill="1" applyAlignment="1">
      <alignment horizontal="right"/>
    </xf>
    <xf numFmtId="1" fontId="9" fillId="2" borderId="0" xfId="0" applyNumberFormat="1" applyFont="1" applyFill="1" applyAlignment="1">
      <alignment horizontal="right"/>
    </xf>
    <xf numFmtId="3" fontId="9" fillId="2" borderId="0" xfId="15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9" fontId="9" fillId="2" borderId="0" xfId="20" applyFont="1" applyFill="1" applyAlignment="1">
      <alignment horizontal="right"/>
    </xf>
    <xf numFmtId="164" fontId="9" fillId="2" borderId="0" xfId="15" applyNumberFormat="1" applyFont="1" applyFill="1" applyAlignment="1">
      <alignment horizontal="right"/>
    </xf>
    <xf numFmtId="4" fontId="9" fillId="2" borderId="0" xfId="15" applyNumberFormat="1" applyFont="1" applyFill="1" applyAlignment="1">
      <alignment horizontal="right"/>
    </xf>
    <xf numFmtId="3" fontId="8" fillId="2" borderId="0" xfId="15" applyNumberFormat="1" applyFont="1" applyFill="1" applyAlignment="1">
      <alignment horizontal="right"/>
    </xf>
    <xf numFmtId="164" fontId="8" fillId="2" borderId="0" xfId="15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4" fontId="8" fillId="2" borderId="0" xfId="15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3" fontId="19" fillId="2" borderId="0" xfId="15" applyNumberFormat="1" applyFont="1" applyFill="1" applyAlignment="1">
      <alignment horizontal="right"/>
    </xf>
    <xf numFmtId="3" fontId="20" fillId="2" borderId="0" xfId="15" applyNumberFormat="1" applyFont="1" applyFill="1" applyAlignment="1">
      <alignment horizontal="right"/>
    </xf>
    <xf numFmtId="4" fontId="20" fillId="2" borderId="0" xfId="15" applyNumberFormat="1" applyFont="1" applyFill="1" applyAlignment="1">
      <alignment horizontal="right"/>
    </xf>
    <xf numFmtId="3" fontId="21" fillId="2" borderId="0" xfId="15" applyNumberFormat="1" applyFont="1" applyFill="1" applyAlignment="1">
      <alignment horizontal="right"/>
    </xf>
    <xf numFmtId="1" fontId="8" fillId="2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22" fillId="2" borderId="0" xfId="0" applyFont="1" applyFill="1" applyAlignment="1">
      <alignment/>
    </xf>
    <xf numFmtId="0" fontId="19" fillId="2" borderId="0" xfId="0" applyFont="1" applyFill="1" applyBorder="1" applyAlignment="1">
      <alignment horizontal="right"/>
    </xf>
    <xf numFmtId="3" fontId="0" fillId="2" borderId="0" xfId="0" applyNumberFormat="1" applyFill="1" applyAlignment="1">
      <alignment/>
    </xf>
    <xf numFmtId="3" fontId="19" fillId="2" borderId="0" xfId="0" applyNumberFormat="1" applyFont="1" applyFill="1" applyBorder="1" applyAlignment="1">
      <alignment horizontal="right"/>
    </xf>
    <xf numFmtId="1" fontId="19" fillId="2" borderId="0" xfId="0" applyNumberFormat="1" applyFont="1" applyFill="1" applyBorder="1" applyAlignment="1">
      <alignment horizontal="right"/>
    </xf>
    <xf numFmtId="9" fontId="19" fillId="2" borderId="0" xfId="0" applyNumberFormat="1" applyFont="1" applyFill="1" applyBorder="1" applyAlignment="1">
      <alignment horizontal="right"/>
    </xf>
    <xf numFmtId="164" fontId="9" fillId="2" borderId="0" xfId="15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1" xfId="0" applyFont="1" applyFill="1" applyBorder="1" applyAlignment="1">
      <alignment/>
    </xf>
    <xf numFmtId="9" fontId="9" fillId="2" borderId="1" xfId="20" applyFont="1" applyFill="1" applyBorder="1" applyAlignment="1">
      <alignment/>
    </xf>
    <xf numFmtId="3" fontId="8" fillId="2" borderId="0" xfId="0" applyNumberFormat="1" applyFont="1" applyFill="1" applyAlignment="1">
      <alignment horizontal="right"/>
    </xf>
    <xf numFmtId="164" fontId="9" fillId="2" borderId="1" xfId="20" applyNumberFormat="1" applyFont="1" applyFill="1" applyBorder="1" applyAlignment="1">
      <alignment/>
    </xf>
    <xf numFmtId="3" fontId="9" fillId="2" borderId="1" xfId="15" applyNumberFormat="1" applyFont="1" applyFill="1" applyBorder="1" applyAlignment="1">
      <alignment/>
    </xf>
    <xf numFmtId="164" fontId="9" fillId="2" borderId="1" xfId="15" applyNumberFormat="1" applyFont="1" applyFill="1" applyBorder="1" applyAlignment="1">
      <alignment/>
    </xf>
    <xf numFmtId="164" fontId="6" fillId="3" borderId="0" xfId="0" applyNumberFormat="1" applyFont="1" applyFill="1" applyAlignment="1">
      <alignment/>
    </xf>
    <xf numFmtId="0" fontId="9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3" fontId="9" fillId="4" borderId="2" xfId="0" applyNumberFormat="1" applyFont="1" applyFill="1" applyBorder="1" applyAlignment="1">
      <alignment/>
    </xf>
    <xf numFmtId="4" fontId="9" fillId="4" borderId="4" xfId="0" applyNumberFormat="1" applyFont="1" applyFill="1" applyBorder="1" applyAlignment="1">
      <alignment/>
    </xf>
    <xf numFmtId="4" fontId="9" fillId="2" borderId="0" xfId="15" applyNumberFormat="1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95250</xdr:rowOff>
    </xdr:from>
    <xdr:to>
      <xdr:col>10</xdr:col>
      <xdr:colOff>752475</xdr:colOff>
      <xdr:row>3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85725" y="581025"/>
          <a:ext cx="761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49</xdr:row>
      <xdr:rowOff>76200</xdr:rowOff>
    </xdr:from>
    <xdr:to>
      <xdr:col>10</xdr:col>
      <xdr:colOff>733425</xdr:colOff>
      <xdr:row>65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8010525"/>
          <a:ext cx="250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60</xdr:row>
      <xdr:rowOff>66675</xdr:rowOff>
    </xdr:from>
    <xdr:to>
      <xdr:col>3</xdr:col>
      <xdr:colOff>619125</xdr:colOff>
      <xdr:row>65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782175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.28515625" style="1" customWidth="1"/>
    <col min="2" max="16384" width="11.421875" style="1" customWidth="1"/>
  </cols>
  <sheetData/>
  <printOptions/>
  <pageMargins left="0.27" right="0.36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5"/>
  <sheetViews>
    <sheetView workbookViewId="0" topLeftCell="A1">
      <selection activeCell="E51" sqref="E51"/>
    </sheetView>
  </sheetViews>
  <sheetFormatPr defaultColWidth="11.421875" defaultRowHeight="12.75"/>
  <cols>
    <col min="1" max="1" width="2.421875" style="1" customWidth="1"/>
    <col min="2" max="2" width="3.28125" style="5" customWidth="1"/>
    <col min="3" max="4" width="11.421875" style="1" customWidth="1"/>
    <col min="5" max="5" width="45.28125" style="1" customWidth="1"/>
    <col min="6" max="6" width="12.57421875" style="5" bestFit="1" customWidth="1"/>
    <col min="7" max="7" width="13.421875" style="1" customWidth="1"/>
    <col min="8" max="8" width="5.00390625" style="1" bestFit="1" customWidth="1"/>
    <col min="9" max="16384" width="11.421875" style="1" customWidth="1"/>
  </cols>
  <sheetData>
    <row r="1" ht="12.75"/>
    <row r="2" spans="2:7" ht="12.75">
      <c r="B2" s="2" t="s">
        <v>0</v>
      </c>
      <c r="C2" s="3"/>
      <c r="D2" s="3"/>
      <c r="E2" s="3"/>
      <c r="F2" s="4" t="s">
        <v>1</v>
      </c>
      <c r="G2" s="4" t="s">
        <v>2</v>
      </c>
    </row>
    <row r="3" spans="3:7" ht="12.75">
      <c r="C3" s="5" t="s">
        <v>3</v>
      </c>
      <c r="F3" s="6">
        <v>78.7</v>
      </c>
      <c r="G3" s="6">
        <v>55</v>
      </c>
    </row>
    <row r="4" spans="3:7" ht="12.75">
      <c r="C4" s="5" t="s">
        <v>4</v>
      </c>
      <c r="F4" s="6">
        <v>78.7</v>
      </c>
      <c r="G4" s="6">
        <v>50</v>
      </c>
    </row>
    <row r="5" spans="3:7" ht="12.75">
      <c r="C5" s="5" t="s">
        <v>5</v>
      </c>
      <c r="F5" s="6">
        <v>40.7</v>
      </c>
      <c r="G5" s="6">
        <v>35</v>
      </c>
    </row>
    <row r="6" spans="3:7" ht="12.75">
      <c r="C6" s="5" t="s">
        <v>6</v>
      </c>
      <c r="F6" s="6">
        <v>40.7</v>
      </c>
      <c r="G6" s="6">
        <v>30</v>
      </c>
    </row>
    <row r="7" spans="3:7" ht="12.75">
      <c r="C7" s="5" t="s">
        <v>7</v>
      </c>
      <c r="F7" s="7">
        <v>0.61</v>
      </c>
      <c r="G7" s="7">
        <v>1.8</v>
      </c>
    </row>
    <row r="8" spans="3:7" ht="12.75">
      <c r="C8" s="5" t="s">
        <v>8</v>
      </c>
      <c r="F8" s="7">
        <v>2.25</v>
      </c>
      <c r="G8" s="7">
        <v>1.1</v>
      </c>
    </row>
    <row r="9" spans="3:7" ht="12.75">
      <c r="C9" s="5" t="s">
        <v>9</v>
      </c>
      <c r="F9" s="7">
        <v>10.5</v>
      </c>
      <c r="G9" s="7">
        <v>10.5</v>
      </c>
    </row>
    <row r="10" spans="3:7" ht="12.75">
      <c r="C10" s="5" t="s">
        <v>10</v>
      </c>
      <c r="F10" s="7">
        <v>59.46</v>
      </c>
      <c r="G10" s="7">
        <v>41</v>
      </c>
    </row>
    <row r="11" ht="12.75"/>
    <row r="12" spans="2:7" ht="12.75">
      <c r="B12" s="2" t="s">
        <v>11</v>
      </c>
      <c r="C12" s="3"/>
      <c r="D12" s="3"/>
      <c r="E12" s="3"/>
      <c r="F12" s="4" t="s">
        <v>1</v>
      </c>
      <c r="G12" s="4" t="s">
        <v>2</v>
      </c>
    </row>
    <row r="13" spans="2:7" ht="12.75">
      <c r="B13" s="8" t="s">
        <v>12</v>
      </c>
      <c r="C13" s="5"/>
      <c r="D13" s="9"/>
      <c r="F13" s="10"/>
      <c r="G13" s="10"/>
    </row>
    <row r="14" spans="3:7" ht="12.75">
      <c r="C14" s="5" t="s">
        <v>13</v>
      </c>
      <c r="F14" s="11" t="s">
        <v>14</v>
      </c>
      <c r="G14" s="11" t="s">
        <v>14</v>
      </c>
    </row>
    <row r="15" spans="3:7" ht="12.75">
      <c r="C15" s="5" t="s">
        <v>15</v>
      </c>
      <c r="F15" s="10">
        <v>3353.88</v>
      </c>
      <c r="G15" s="10">
        <v>2450</v>
      </c>
    </row>
    <row r="16" spans="3:7" ht="12.75">
      <c r="C16" s="5" t="s">
        <v>16</v>
      </c>
      <c r="D16" s="9"/>
      <c r="F16" s="10">
        <v>130.85166666666666</v>
      </c>
      <c r="G16" s="10">
        <v>119.8</v>
      </c>
    </row>
    <row r="17" spans="3:7" ht="12.75">
      <c r="C17" s="5" t="s">
        <v>17</v>
      </c>
      <c r="D17" s="5"/>
      <c r="F17" s="10">
        <v>67.96666666666667</v>
      </c>
      <c r="G17" s="10">
        <v>73.35</v>
      </c>
    </row>
    <row r="18" spans="3:7" ht="12.75">
      <c r="C18" s="5" t="s">
        <v>18</v>
      </c>
      <c r="D18" s="5"/>
      <c r="F18" s="10">
        <v>55.89833333333333</v>
      </c>
      <c r="G18" s="10">
        <v>62.52</v>
      </c>
    </row>
    <row r="19" spans="3:7" ht="12.75">
      <c r="C19" s="5" t="s">
        <v>19</v>
      </c>
      <c r="F19" s="10">
        <v>35.06333333333333</v>
      </c>
      <c r="G19" s="10">
        <v>47.61</v>
      </c>
    </row>
    <row r="20" spans="3:7" ht="12.75">
      <c r="C20" s="5" t="s">
        <v>20</v>
      </c>
      <c r="F20" s="10">
        <v>32.776666666666664</v>
      </c>
      <c r="G20" s="10">
        <v>47.61</v>
      </c>
    </row>
    <row r="21" spans="3:7" ht="12.75">
      <c r="C21" s="5" t="s">
        <v>21</v>
      </c>
      <c r="F21" s="10">
        <f>G21</f>
        <v>334.6</v>
      </c>
      <c r="G21" s="10">
        <v>334.6</v>
      </c>
    </row>
    <row r="22" spans="3:7" ht="12.75">
      <c r="C22" s="5"/>
      <c r="F22" s="10"/>
      <c r="G22" s="10"/>
    </row>
    <row r="23" spans="2:6" ht="12.75">
      <c r="B23" s="8" t="s">
        <v>22</v>
      </c>
      <c r="C23" s="5"/>
      <c r="F23" s="10"/>
    </row>
    <row r="24" spans="2:7" ht="12.75">
      <c r="B24" s="8"/>
      <c r="C24" s="5" t="s">
        <v>23</v>
      </c>
      <c r="F24" s="10">
        <v>2405.2</v>
      </c>
      <c r="G24" s="10">
        <v>2405.16</v>
      </c>
    </row>
    <row r="25" spans="2:7" ht="12.75">
      <c r="B25" s="8"/>
      <c r="C25" s="5" t="s">
        <v>24</v>
      </c>
      <c r="F25" s="10">
        <v>3198.54</v>
      </c>
      <c r="G25" s="10">
        <v>3198.48</v>
      </c>
    </row>
    <row r="26" spans="2:7" ht="12.75">
      <c r="B26" s="8"/>
      <c r="C26" s="5" t="s">
        <v>25</v>
      </c>
      <c r="F26" s="12">
        <v>457</v>
      </c>
      <c r="G26" s="10">
        <v>100</v>
      </c>
    </row>
    <row r="27" spans="2:7" ht="12.75">
      <c r="B27" s="8"/>
      <c r="C27" s="5"/>
      <c r="F27" s="10"/>
      <c r="G27" s="10"/>
    </row>
    <row r="28" spans="2:6" ht="12.75">
      <c r="B28" s="8" t="s">
        <v>26</v>
      </c>
      <c r="C28" s="5"/>
      <c r="D28" s="9"/>
      <c r="F28" s="13"/>
    </row>
    <row r="29" spans="3:7" ht="12.75">
      <c r="C29" s="5" t="s">
        <v>27</v>
      </c>
      <c r="D29" s="9"/>
      <c r="F29" s="10">
        <v>131</v>
      </c>
      <c r="G29" s="10">
        <v>104.41</v>
      </c>
    </row>
    <row r="30" spans="3:7" ht="12.75">
      <c r="C30" s="5" t="s">
        <v>28</v>
      </c>
      <c r="D30" s="9"/>
      <c r="F30" s="14">
        <f>G30*$F$29/$G$29</f>
        <v>213.29374580978833</v>
      </c>
      <c r="G30" s="10">
        <v>170</v>
      </c>
    </row>
    <row r="31" spans="3:7" ht="12.75">
      <c r="C31" s="5" t="s">
        <v>29</v>
      </c>
      <c r="D31" s="9"/>
      <c r="F31" s="14">
        <f aca="true" t="shared" si="0" ref="F31:F37">G31*$F$29/$G$29</f>
        <v>225.8404367397759</v>
      </c>
      <c r="G31" s="10">
        <v>180</v>
      </c>
    </row>
    <row r="32" spans="3:7" ht="12.75">
      <c r="C32" s="5" t="s">
        <v>30</v>
      </c>
      <c r="D32" s="9"/>
      <c r="F32" s="14">
        <f t="shared" si="0"/>
        <v>230.8591131117709</v>
      </c>
      <c r="G32" s="10">
        <v>184</v>
      </c>
    </row>
    <row r="33" spans="3:7" ht="12.75">
      <c r="C33" s="5" t="s">
        <v>31</v>
      </c>
      <c r="D33" s="9"/>
      <c r="F33" s="14">
        <f t="shared" si="0"/>
        <v>225.8404367397759</v>
      </c>
      <c r="G33" s="10">
        <v>180</v>
      </c>
    </row>
    <row r="34" spans="3:7" ht="12.75">
      <c r="C34" s="5" t="s">
        <v>32</v>
      </c>
      <c r="D34" s="9"/>
      <c r="F34" s="14">
        <f t="shared" si="0"/>
        <v>238.38712766976343</v>
      </c>
      <c r="G34" s="10">
        <v>190</v>
      </c>
    </row>
    <row r="35" spans="3:7" ht="12.75">
      <c r="C35" s="5" t="s">
        <v>33</v>
      </c>
      <c r="D35" s="9"/>
      <c r="F35" s="14">
        <f t="shared" si="0"/>
        <v>243.40580404175847</v>
      </c>
      <c r="G35" s="10">
        <v>194</v>
      </c>
    </row>
    <row r="36" spans="3:7" ht="12.75">
      <c r="C36" s="5" t="s">
        <v>34</v>
      </c>
      <c r="D36" s="9"/>
      <c r="F36" s="14">
        <f t="shared" si="0"/>
        <v>230.8591131117709</v>
      </c>
      <c r="G36" s="10">
        <v>184</v>
      </c>
    </row>
    <row r="37" spans="3:7" ht="12.75">
      <c r="C37" s="5" t="s">
        <v>35</v>
      </c>
      <c r="D37" s="9"/>
      <c r="F37" s="14">
        <f t="shared" si="0"/>
        <v>238.38712766976343</v>
      </c>
      <c r="G37" s="10">
        <v>190</v>
      </c>
    </row>
    <row r="38" spans="3:7" ht="12.75">
      <c r="C38" s="5"/>
      <c r="D38" s="9"/>
      <c r="F38" s="14"/>
      <c r="G38" s="10"/>
    </row>
    <row r="39" spans="2:6" ht="12.75">
      <c r="B39" s="8" t="s">
        <v>36</v>
      </c>
      <c r="C39" s="5"/>
      <c r="D39" s="9"/>
      <c r="F39" s="13"/>
    </row>
    <row r="40" spans="2:7" ht="12.75">
      <c r="B40" s="8"/>
      <c r="C40" s="5" t="s">
        <v>27</v>
      </c>
      <c r="D40" s="9"/>
      <c r="F40" s="13">
        <v>0</v>
      </c>
      <c r="G40" s="10">
        <v>0</v>
      </c>
    </row>
    <row r="41" spans="3:7" ht="12.75">
      <c r="C41" s="5" t="s">
        <v>28</v>
      </c>
      <c r="D41" s="9"/>
      <c r="F41" s="14">
        <f aca="true" t="shared" si="1" ref="F41:F47">G41*$F$29/$G$29</f>
        <v>553.3090700124509</v>
      </c>
      <c r="G41" s="10">
        <v>441</v>
      </c>
    </row>
    <row r="42" spans="3:7" ht="12.75">
      <c r="C42" s="5" t="s">
        <v>29</v>
      </c>
      <c r="D42" s="9"/>
      <c r="F42" s="14">
        <f t="shared" si="1"/>
        <v>691.322670242314</v>
      </c>
      <c r="G42" s="10">
        <v>551</v>
      </c>
    </row>
    <row r="43" spans="3:7" ht="12.75">
      <c r="C43" s="5" t="s">
        <v>30</v>
      </c>
      <c r="D43" s="9"/>
      <c r="F43" s="14">
        <f t="shared" si="1"/>
        <v>737.745426683268</v>
      </c>
      <c r="G43" s="10">
        <v>588</v>
      </c>
    </row>
    <row r="44" spans="3:7" ht="12.75">
      <c r="C44" s="5" t="s">
        <v>31</v>
      </c>
      <c r="D44" s="9"/>
      <c r="F44" s="14">
        <f t="shared" si="1"/>
        <v>691.322670242314</v>
      </c>
      <c r="G44" s="10">
        <v>551</v>
      </c>
    </row>
    <row r="45" spans="3:7" ht="12.75">
      <c r="C45" s="5" t="s">
        <v>32</v>
      </c>
      <c r="D45" s="9"/>
      <c r="F45" s="14">
        <f t="shared" si="1"/>
        <v>830.5909395651757</v>
      </c>
      <c r="G45" s="10">
        <v>662</v>
      </c>
    </row>
    <row r="46" spans="3:7" ht="12.75">
      <c r="C46" s="5" t="s">
        <v>33</v>
      </c>
      <c r="D46" s="9"/>
      <c r="F46" s="14">
        <f t="shared" si="1"/>
        <v>968.6045397950388</v>
      </c>
      <c r="G46" s="10">
        <v>772</v>
      </c>
    </row>
    <row r="47" spans="3:7" ht="12.75">
      <c r="C47" s="5" t="s">
        <v>34</v>
      </c>
      <c r="D47" s="9"/>
      <c r="F47" s="14">
        <f t="shared" si="1"/>
        <v>737.745426683268</v>
      </c>
      <c r="G47" s="10">
        <v>588</v>
      </c>
    </row>
    <row r="48" spans="3:7" ht="12.75">
      <c r="C48" s="5" t="s">
        <v>35</v>
      </c>
      <c r="D48" s="9"/>
      <c r="F48" s="14">
        <f>G48*$F$29/$G$29</f>
        <v>830.5909395651757</v>
      </c>
      <c r="G48" s="10">
        <v>662</v>
      </c>
    </row>
    <row r="49" spans="3:7" ht="12.75">
      <c r="C49" s="5"/>
      <c r="D49" s="9"/>
      <c r="F49" s="14"/>
      <c r="G49" s="10"/>
    </row>
    <row r="50" spans="2:7" ht="12.75">
      <c r="B50" s="8" t="s">
        <v>37</v>
      </c>
      <c r="D50" s="8"/>
      <c r="F50" s="14"/>
      <c r="G50" s="10"/>
    </row>
    <row r="51" spans="2:7" ht="12.75">
      <c r="B51" s="8" t="s">
        <v>38</v>
      </c>
      <c r="C51" s="8"/>
      <c r="D51" s="8"/>
      <c r="F51" s="14"/>
      <c r="G51" s="10"/>
    </row>
    <row r="52" spans="3:7" ht="12.75">
      <c r="C52" s="5" t="s">
        <v>39</v>
      </c>
      <c r="F52" s="15">
        <f>(F40/Calculs!$F$16/12+F29)</f>
        <v>131</v>
      </c>
      <c r="G52" s="15">
        <f>(G40/Calculs!$F$16/12+G29)</f>
        <v>104.41</v>
      </c>
    </row>
    <row r="53" spans="3:7" ht="12.75">
      <c r="C53" s="5" t="s">
        <v>40</v>
      </c>
      <c r="F53" s="15">
        <f>(F41/Calculs!$F$16/12+F30)</f>
        <v>225.00319440339302</v>
      </c>
      <c r="G53" s="15">
        <f>(G41/Calculs!$F$16/12+G30)</f>
        <v>179.33269868441425</v>
      </c>
    </row>
    <row r="54" spans="3:7" ht="12.75">
      <c r="C54" s="5" t="s">
        <v>41</v>
      </c>
      <c r="F54" s="15">
        <f>(F42/Calculs!$F$16/12+F31)</f>
        <v>240.47060947237495</v>
      </c>
      <c r="G54" s="15">
        <f>(G42/Calculs!$F$16/12+G31)</f>
        <v>191.6605827100051</v>
      </c>
    </row>
    <row r="55" spans="3:7" ht="12.75">
      <c r="C55" s="5" t="s">
        <v>42</v>
      </c>
      <c r="F55" s="15">
        <f>(F43/Calculs!$F$16/12+F32)</f>
        <v>246.47171123657716</v>
      </c>
      <c r="G55" s="15">
        <f>(G43/Calculs!$F$16/12+G32)</f>
        <v>196.44359824588565</v>
      </c>
    </row>
    <row r="56" spans="3:7" ht="12.75">
      <c r="C56" s="5" t="s">
        <v>43</v>
      </c>
      <c r="F56" s="15">
        <f>(F44/Calculs!$F$16/12+F33)</f>
        <v>240.47060947237495</v>
      </c>
      <c r="G56" s="15">
        <f>(G44/Calculs!$F$16/12+G33)</f>
        <v>191.6605827100051</v>
      </c>
    </row>
    <row r="57" spans="3:7" ht="12.75">
      <c r="C57" s="5" t="s">
        <v>44</v>
      </c>
      <c r="F57" s="15">
        <f>(F45/Calculs!$F$16/12+F34)</f>
        <v>255.96457657898407</v>
      </c>
      <c r="G57" s="15">
        <f>(G45/Calculs!$F$16/12+G34)</f>
        <v>204.00962931764678</v>
      </c>
    </row>
    <row r="58" spans="3:7" ht="12.75">
      <c r="C58" s="5" t="s">
        <v>45</v>
      </c>
      <c r="F58" s="15">
        <f>(F46/Calculs!$F$16/12+F35)</f>
        <v>263.90397708997347</v>
      </c>
      <c r="G58" s="15">
        <f>(G46/Calculs!$F$16/12+G35)</f>
        <v>210.33751334323762</v>
      </c>
    </row>
    <row r="59" spans="3:7" ht="12.75">
      <c r="C59" s="5" t="s">
        <v>46</v>
      </c>
      <c r="F59" s="15">
        <f>(F47/Calculs!$F$16/12+F36)</f>
        <v>246.47171123657716</v>
      </c>
      <c r="G59" s="15">
        <f>(G47/Calculs!$F$16/12+G36)</f>
        <v>196.44359824588565</v>
      </c>
    </row>
    <row r="60" spans="3:7" ht="12.75">
      <c r="C60" s="5" t="s">
        <v>47</v>
      </c>
      <c r="F60" s="15">
        <f>(F48/Calculs!$F$16/12+F37)</f>
        <v>255.96457657898407</v>
      </c>
      <c r="G60" s="15">
        <f>(G48/Calculs!$F$16/12+G37)</f>
        <v>204.00962931764678</v>
      </c>
    </row>
    <row r="61" spans="3:7" ht="12.75">
      <c r="C61" s="5"/>
      <c r="D61" s="5"/>
      <c r="F61" s="14"/>
      <c r="G61" s="10"/>
    </row>
    <row r="62" spans="2:7" ht="12.75">
      <c r="B62" s="8" t="s">
        <v>48</v>
      </c>
      <c r="F62" s="14"/>
      <c r="G62" s="10"/>
    </row>
    <row r="63" spans="2:6" ht="12.75">
      <c r="B63" s="8" t="s">
        <v>49</v>
      </c>
      <c r="F63" s="1"/>
    </row>
    <row r="64" spans="3:7" ht="12.75">
      <c r="C64" s="5" t="s">
        <v>39</v>
      </c>
      <c r="F64" s="16">
        <f aca="true" t="shared" si="2" ref="F64:G72">F52/2</f>
        <v>65.5</v>
      </c>
      <c r="G64" s="16">
        <f t="shared" si="2"/>
        <v>52.205</v>
      </c>
    </row>
    <row r="65" spans="3:7" ht="12.75">
      <c r="C65" s="5" t="s">
        <v>40</v>
      </c>
      <c r="F65" s="16">
        <f t="shared" si="2"/>
        <v>112.50159720169651</v>
      </c>
      <c r="G65" s="16">
        <f t="shared" si="2"/>
        <v>89.66634934220713</v>
      </c>
    </row>
    <row r="66" spans="3:7" ht="12.75">
      <c r="C66" s="5" t="s">
        <v>41</v>
      </c>
      <c r="F66" s="16">
        <f t="shared" si="2"/>
        <v>120.23530473618747</v>
      </c>
      <c r="G66" s="16">
        <f t="shared" si="2"/>
        <v>95.83029135500254</v>
      </c>
    </row>
    <row r="67" spans="3:7" ht="12.75">
      <c r="C67" s="5" t="s">
        <v>42</v>
      </c>
      <c r="F67" s="16">
        <f t="shared" si="2"/>
        <v>123.23585561828858</v>
      </c>
      <c r="G67" s="16">
        <f t="shared" si="2"/>
        <v>98.22179912294283</v>
      </c>
    </row>
    <row r="68" spans="3:7" ht="12.75">
      <c r="C68" s="5" t="s">
        <v>43</v>
      </c>
      <c r="F68" s="16">
        <f t="shared" si="2"/>
        <v>120.23530473618747</v>
      </c>
      <c r="G68" s="16">
        <f t="shared" si="2"/>
        <v>95.83029135500254</v>
      </c>
    </row>
    <row r="69" spans="3:7" ht="12.75">
      <c r="C69" s="5" t="s">
        <v>44</v>
      </c>
      <c r="F69" s="16">
        <f t="shared" si="2"/>
        <v>127.98228828949203</v>
      </c>
      <c r="G69" s="16">
        <f t="shared" si="2"/>
        <v>102.00481465882339</v>
      </c>
    </row>
    <row r="70" spans="3:7" ht="12.75">
      <c r="C70" s="5" t="s">
        <v>45</v>
      </c>
      <c r="F70" s="16">
        <f t="shared" si="2"/>
        <v>131.95198854498673</v>
      </c>
      <c r="G70" s="16">
        <f t="shared" si="2"/>
        <v>105.16875667161881</v>
      </c>
    </row>
    <row r="71" spans="3:7" ht="12.75">
      <c r="C71" s="5" t="s">
        <v>46</v>
      </c>
      <c r="F71" s="16">
        <f t="shared" si="2"/>
        <v>123.23585561828858</v>
      </c>
      <c r="G71" s="16">
        <f t="shared" si="2"/>
        <v>98.22179912294283</v>
      </c>
    </row>
    <row r="72" spans="3:7" ht="12.75">
      <c r="C72" s="5" t="s">
        <v>47</v>
      </c>
      <c r="F72" s="16">
        <f t="shared" si="2"/>
        <v>127.98228828949203</v>
      </c>
      <c r="G72" s="16">
        <f t="shared" si="2"/>
        <v>102.00481465882339</v>
      </c>
    </row>
    <row r="73" spans="3:7" ht="12.75">
      <c r="C73" s="5"/>
      <c r="F73" s="16"/>
      <c r="G73" s="16"/>
    </row>
    <row r="74" spans="2:6" ht="12.75">
      <c r="B74" s="17" t="s">
        <v>50</v>
      </c>
      <c r="F74" s="1"/>
    </row>
    <row r="75" spans="3:7" ht="12.75">
      <c r="C75" s="5" t="s">
        <v>39</v>
      </c>
      <c r="F75" s="6">
        <f aca="true" t="shared" si="3" ref="F75:G83">F52/128</f>
        <v>1.0234375</v>
      </c>
      <c r="G75" s="6">
        <f t="shared" si="3"/>
        <v>0.815703125</v>
      </c>
    </row>
    <row r="76" spans="3:7" ht="12.75">
      <c r="C76" s="5" t="s">
        <v>40</v>
      </c>
      <c r="F76" s="6">
        <f t="shared" si="3"/>
        <v>1.757837456276508</v>
      </c>
      <c r="G76" s="6">
        <f t="shared" si="3"/>
        <v>1.4010367084719864</v>
      </c>
    </row>
    <row r="77" spans="3:7" ht="12.75">
      <c r="C77" s="5" t="s">
        <v>41</v>
      </c>
      <c r="F77" s="6">
        <f t="shared" si="3"/>
        <v>1.8786766365029293</v>
      </c>
      <c r="G77" s="6">
        <f t="shared" si="3"/>
        <v>1.4973483024219147</v>
      </c>
    </row>
    <row r="78" spans="3:7" ht="12.75">
      <c r="C78" s="5" t="s">
        <v>42</v>
      </c>
      <c r="F78" s="6">
        <f t="shared" si="3"/>
        <v>1.925560244035759</v>
      </c>
      <c r="G78" s="6">
        <f t="shared" si="3"/>
        <v>1.5347156112959817</v>
      </c>
    </row>
    <row r="79" spans="3:7" ht="12.75">
      <c r="C79" s="5" t="s">
        <v>43</v>
      </c>
      <c r="F79" s="6">
        <f t="shared" si="3"/>
        <v>1.8786766365029293</v>
      </c>
      <c r="G79" s="6">
        <f t="shared" si="3"/>
        <v>1.4973483024219147</v>
      </c>
    </row>
    <row r="80" spans="3:7" ht="12.75">
      <c r="C80" s="5" t="s">
        <v>44</v>
      </c>
      <c r="F80" s="6">
        <f t="shared" si="3"/>
        <v>1.999723254523313</v>
      </c>
      <c r="G80" s="6">
        <f t="shared" si="3"/>
        <v>1.5938252290441155</v>
      </c>
    </row>
    <row r="81" spans="3:7" ht="12.75">
      <c r="C81" s="5" t="s">
        <v>45</v>
      </c>
      <c r="F81" s="6">
        <f t="shared" si="3"/>
        <v>2.0617498210154177</v>
      </c>
      <c r="G81" s="6">
        <f t="shared" si="3"/>
        <v>1.6432618229940439</v>
      </c>
    </row>
    <row r="82" spans="3:7" ht="12.75">
      <c r="C82" s="5" t="s">
        <v>46</v>
      </c>
      <c r="F82" s="6">
        <f t="shared" si="3"/>
        <v>1.925560244035759</v>
      </c>
      <c r="G82" s="6">
        <f t="shared" si="3"/>
        <v>1.5347156112959817</v>
      </c>
    </row>
    <row r="83" spans="3:7" ht="12.75">
      <c r="C83" s="5" t="s">
        <v>47</v>
      </c>
      <c r="D83" s="5"/>
      <c r="F83" s="6">
        <f t="shared" si="3"/>
        <v>1.999723254523313</v>
      </c>
      <c r="G83" s="6">
        <f t="shared" si="3"/>
        <v>1.5938252290441155</v>
      </c>
    </row>
    <row r="84" spans="3:7" ht="12.75">
      <c r="C84" s="5"/>
      <c r="D84" s="9"/>
      <c r="F84" s="14"/>
      <c r="G84" s="10"/>
    </row>
    <row r="85" spans="3:7" ht="12.75">
      <c r="C85" s="5"/>
      <c r="D85" s="9"/>
      <c r="F85" s="14"/>
      <c r="G85" s="10"/>
    </row>
    <row r="86" ht="12.75"/>
    <row r="87" spans="2:7" ht="12.75">
      <c r="B87" s="2" t="s">
        <v>51</v>
      </c>
      <c r="C87" s="3"/>
      <c r="D87" s="3"/>
      <c r="E87" s="3"/>
      <c r="F87" s="4" t="s">
        <v>1</v>
      </c>
      <c r="G87" s="4" t="s">
        <v>2</v>
      </c>
    </row>
    <row r="88" spans="2:6" ht="12.75">
      <c r="B88" s="8" t="s">
        <v>52</v>
      </c>
      <c r="C88" s="18"/>
      <c r="D88" s="18"/>
      <c r="E88" s="18"/>
      <c r="F88" s="19"/>
    </row>
    <row r="89" spans="3:7" ht="12.75">
      <c r="C89" s="5" t="s">
        <v>53</v>
      </c>
      <c r="D89" s="9"/>
      <c r="F89" s="10">
        <v>1000</v>
      </c>
      <c r="G89" s="10">
        <v>1500</v>
      </c>
    </row>
    <row r="90" spans="3:7" ht="12.75">
      <c r="C90" s="5" t="s">
        <v>54</v>
      </c>
      <c r="D90" s="9"/>
      <c r="F90" s="10">
        <v>200</v>
      </c>
      <c r="G90" s="10">
        <v>0</v>
      </c>
    </row>
    <row r="91" spans="3:7" ht="12.75">
      <c r="C91" s="5"/>
      <c r="D91" s="9"/>
      <c r="F91" s="10"/>
      <c r="G91" s="10"/>
    </row>
    <row r="92" spans="2:6" ht="12.75">
      <c r="B92" s="8" t="s">
        <v>12</v>
      </c>
      <c r="C92" s="5"/>
      <c r="D92" s="9"/>
      <c r="F92" s="10"/>
    </row>
    <row r="93" spans="3:7" ht="12.75">
      <c r="C93" s="5" t="s">
        <v>55</v>
      </c>
      <c r="F93" s="10">
        <v>4000</v>
      </c>
      <c r="G93" s="10">
        <v>4200</v>
      </c>
    </row>
    <row r="94" spans="3:7" ht="12.75">
      <c r="C94" s="5" t="s">
        <v>15</v>
      </c>
      <c r="F94" s="10">
        <v>3353.88</v>
      </c>
      <c r="G94" s="10">
        <v>2450</v>
      </c>
    </row>
    <row r="95" spans="3:7" ht="12.75">
      <c r="C95" s="5" t="s">
        <v>16</v>
      </c>
      <c r="D95" s="9"/>
      <c r="F95" s="10">
        <v>398.01</v>
      </c>
      <c r="G95" s="10">
        <v>419.4</v>
      </c>
    </row>
    <row r="96" spans="3:7" ht="12.75">
      <c r="C96" s="5" t="s">
        <v>17</v>
      </c>
      <c r="D96" s="9"/>
      <c r="F96" s="10">
        <v>350.67</v>
      </c>
      <c r="G96" s="10">
        <v>370.41</v>
      </c>
    </row>
    <row r="97" spans="3:7" ht="12.75">
      <c r="C97" s="5" t="s">
        <v>18</v>
      </c>
      <c r="D97" s="9"/>
      <c r="F97" s="10">
        <v>339.63</v>
      </c>
      <c r="G97" s="10">
        <v>358.98</v>
      </c>
    </row>
    <row r="98" spans="3:7" ht="12.75">
      <c r="C98" s="5" t="s">
        <v>19</v>
      </c>
      <c r="D98" s="9"/>
      <c r="F98" s="10">
        <v>325.06</v>
      </c>
      <c r="G98" s="10">
        <v>343.26</v>
      </c>
    </row>
    <row r="99" spans="3:7" ht="12.75">
      <c r="C99" s="5" t="s">
        <v>56</v>
      </c>
      <c r="D99" s="5"/>
      <c r="F99" s="10">
        <v>325.06</v>
      </c>
      <c r="G99" s="10">
        <v>343.26</v>
      </c>
    </row>
    <row r="100" spans="3:7" ht="12.75">
      <c r="C100" s="5"/>
      <c r="D100" s="5"/>
      <c r="F100" s="10"/>
      <c r="G100" s="10"/>
    </row>
    <row r="101" spans="2:6" ht="12.75">
      <c r="B101" s="8" t="s">
        <v>22</v>
      </c>
      <c r="C101" s="5"/>
      <c r="F101" s="10"/>
    </row>
    <row r="102" spans="2:6" ht="12.75">
      <c r="B102" s="8"/>
      <c r="C102" s="5" t="s">
        <v>23</v>
      </c>
      <c r="F102" s="10">
        <v>2662.95</v>
      </c>
    </row>
    <row r="103" spans="2:6" ht="12.75">
      <c r="B103" s="8"/>
      <c r="C103" s="5" t="s">
        <v>24</v>
      </c>
      <c r="F103" s="10">
        <v>3476.68</v>
      </c>
    </row>
    <row r="104" spans="2:7" ht="12.75">
      <c r="B104" s="8"/>
      <c r="C104" s="5" t="s">
        <v>57</v>
      </c>
      <c r="F104" s="10"/>
      <c r="G104" s="10">
        <v>159.75</v>
      </c>
    </row>
    <row r="105" spans="2:7" ht="12.75">
      <c r="B105" s="8"/>
      <c r="C105" s="5" t="s">
        <v>58</v>
      </c>
      <c r="F105" s="10"/>
      <c r="G105" s="10">
        <v>257.08</v>
      </c>
    </row>
    <row r="106" spans="2:7" ht="12.75">
      <c r="B106" s="8"/>
      <c r="C106" s="5" t="s">
        <v>59</v>
      </c>
      <c r="F106" s="10"/>
      <c r="G106" s="10">
        <v>319.5</v>
      </c>
    </row>
    <row r="107" spans="2:7" ht="12.75">
      <c r="B107" s="8"/>
      <c r="C107" s="5" t="s">
        <v>60</v>
      </c>
      <c r="F107" s="10"/>
      <c r="G107" s="10">
        <v>514.16</v>
      </c>
    </row>
    <row r="108" spans="2:7" ht="12.75">
      <c r="B108" s="8"/>
      <c r="C108" s="5" t="s">
        <v>61</v>
      </c>
      <c r="F108" s="10"/>
      <c r="G108" s="10">
        <v>134.16</v>
      </c>
    </row>
    <row r="109" spans="2:7" ht="12.75">
      <c r="B109" s="8"/>
      <c r="C109" s="5" t="s">
        <v>62</v>
      </c>
      <c r="F109" s="10"/>
      <c r="G109" s="10">
        <v>199.75</v>
      </c>
    </row>
    <row r="110" spans="2:7" ht="12.75">
      <c r="B110" s="8"/>
      <c r="C110" s="5" t="s">
        <v>25</v>
      </c>
      <c r="D110" s="5"/>
      <c r="F110" s="12">
        <v>457.35</v>
      </c>
      <c r="G110" s="10">
        <v>100</v>
      </c>
    </row>
    <row r="111" spans="2:6" ht="12.75">
      <c r="B111" s="8"/>
      <c r="C111" s="5"/>
      <c r="D111" s="5"/>
      <c r="F111" s="10"/>
    </row>
    <row r="112" spans="2:6" ht="12.75">
      <c r="B112" s="8" t="s">
        <v>63</v>
      </c>
      <c r="C112" s="5"/>
      <c r="D112" s="9"/>
      <c r="F112" s="13"/>
    </row>
    <row r="113" spans="3:7" ht="12.75">
      <c r="C113" s="5" t="s">
        <v>27</v>
      </c>
      <c r="D113" s="9"/>
      <c r="F113" s="10">
        <v>82</v>
      </c>
      <c r="G113" s="10">
        <v>78.05</v>
      </c>
    </row>
    <row r="114" spans="3:7" ht="12.75">
      <c r="C114" s="5" t="s">
        <v>28</v>
      </c>
      <c r="D114" s="9"/>
      <c r="F114" s="14">
        <f>G114*$F$113/$G$113</f>
        <v>178.6034593209481</v>
      </c>
      <c r="G114" s="10">
        <v>170</v>
      </c>
    </row>
    <row r="115" spans="3:7" ht="12.75">
      <c r="C115" s="5" t="s">
        <v>29</v>
      </c>
      <c r="D115" s="9"/>
      <c r="F115" s="14">
        <f aca="true" t="shared" si="4" ref="F115:F121">G115*$F$113/$G$113</f>
        <v>189.10954516335684</v>
      </c>
      <c r="G115" s="10">
        <v>180</v>
      </c>
    </row>
    <row r="116" spans="3:7" ht="12.75">
      <c r="C116" s="5" t="s">
        <v>30</v>
      </c>
      <c r="D116" s="9"/>
      <c r="F116" s="14">
        <f t="shared" si="4"/>
        <v>193.31197950032032</v>
      </c>
      <c r="G116" s="10">
        <v>184</v>
      </c>
    </row>
    <row r="117" spans="3:7" ht="12.75">
      <c r="C117" s="5" t="s">
        <v>31</v>
      </c>
      <c r="D117" s="9"/>
      <c r="F117" s="14">
        <f t="shared" si="4"/>
        <v>189.10954516335684</v>
      </c>
      <c r="G117" s="10">
        <v>180</v>
      </c>
    </row>
    <row r="118" spans="3:7" ht="12.75">
      <c r="C118" s="5" t="s">
        <v>32</v>
      </c>
      <c r="D118" s="9"/>
      <c r="F118" s="14">
        <f t="shared" si="4"/>
        <v>199.61563100576555</v>
      </c>
      <c r="G118" s="10">
        <v>190</v>
      </c>
    </row>
    <row r="119" spans="3:7" ht="12.75">
      <c r="C119" s="5" t="s">
        <v>33</v>
      </c>
      <c r="D119" s="9"/>
      <c r="F119" s="14">
        <f t="shared" si="4"/>
        <v>203.81806534272903</v>
      </c>
      <c r="G119" s="10">
        <v>194</v>
      </c>
    </row>
    <row r="120" spans="3:7" ht="12.75">
      <c r="C120" s="5" t="s">
        <v>34</v>
      </c>
      <c r="D120" s="9"/>
      <c r="F120" s="14">
        <f t="shared" si="4"/>
        <v>193.31197950032032</v>
      </c>
      <c r="G120" s="10">
        <v>184</v>
      </c>
    </row>
    <row r="121" spans="3:7" ht="12.75">
      <c r="C121" s="5" t="s">
        <v>35</v>
      </c>
      <c r="D121" s="9"/>
      <c r="F121" s="14">
        <f t="shared" si="4"/>
        <v>199.61563100576555</v>
      </c>
      <c r="G121" s="10">
        <v>190</v>
      </c>
    </row>
    <row r="122" spans="3:7" ht="12.75">
      <c r="C122" s="5"/>
      <c r="D122" s="9"/>
      <c r="F122" s="14"/>
      <c r="G122" s="10"/>
    </row>
    <row r="123" spans="2:6" ht="12.75">
      <c r="B123" s="8" t="s">
        <v>64</v>
      </c>
      <c r="C123" s="5"/>
      <c r="D123" s="9"/>
      <c r="F123" s="13"/>
    </row>
    <row r="124" spans="2:7" ht="12.75">
      <c r="B124" s="8"/>
      <c r="C124" s="5" t="s">
        <v>27</v>
      </c>
      <c r="D124" s="9"/>
      <c r="F124" s="13">
        <v>0</v>
      </c>
      <c r="G124" s="10">
        <v>0</v>
      </c>
    </row>
    <row r="125" spans="3:7" ht="12.75">
      <c r="C125" s="5" t="s">
        <v>28</v>
      </c>
      <c r="D125" s="9"/>
      <c r="F125" s="14">
        <f aca="true" t="shared" si="5" ref="F125:F132">G125*$F$113/$G$113</f>
        <v>463.31838565022423</v>
      </c>
      <c r="G125" s="10">
        <v>441</v>
      </c>
    </row>
    <row r="126" spans="3:7" ht="12.75">
      <c r="C126" s="5" t="s">
        <v>29</v>
      </c>
      <c r="D126" s="9"/>
      <c r="F126" s="14">
        <f t="shared" si="5"/>
        <v>578.88532991672</v>
      </c>
      <c r="G126" s="10">
        <v>551</v>
      </c>
    </row>
    <row r="127" spans="3:7" ht="12.75">
      <c r="C127" s="5" t="s">
        <v>30</v>
      </c>
      <c r="D127" s="9"/>
      <c r="F127" s="14">
        <f t="shared" si="5"/>
        <v>617.7578475336323</v>
      </c>
      <c r="G127" s="10">
        <v>588</v>
      </c>
    </row>
    <row r="128" spans="3:7" ht="12.75">
      <c r="C128" s="5" t="s">
        <v>31</v>
      </c>
      <c r="D128" s="9"/>
      <c r="F128" s="14">
        <f t="shared" si="5"/>
        <v>578.88532991672</v>
      </c>
      <c r="G128" s="10">
        <v>551</v>
      </c>
    </row>
    <row r="129" spans="3:7" ht="12.75">
      <c r="C129" s="5" t="s">
        <v>32</v>
      </c>
      <c r="D129" s="9"/>
      <c r="F129" s="14">
        <f t="shared" si="5"/>
        <v>695.5028827674568</v>
      </c>
      <c r="G129" s="10">
        <v>662</v>
      </c>
    </row>
    <row r="130" spans="3:7" ht="12.75">
      <c r="C130" s="5" t="s">
        <v>33</v>
      </c>
      <c r="D130" s="9"/>
      <c r="F130" s="14">
        <f t="shared" si="5"/>
        <v>811.0698270339526</v>
      </c>
      <c r="G130" s="10">
        <v>772</v>
      </c>
    </row>
    <row r="131" spans="3:7" ht="12.75">
      <c r="C131" s="5" t="s">
        <v>34</v>
      </c>
      <c r="D131" s="9"/>
      <c r="F131" s="14">
        <f t="shared" si="5"/>
        <v>617.7578475336323</v>
      </c>
      <c r="G131" s="10">
        <v>588</v>
      </c>
    </row>
    <row r="132" spans="3:7" ht="12.75">
      <c r="C132" s="5" t="s">
        <v>35</v>
      </c>
      <c r="D132" s="9"/>
      <c r="F132" s="14">
        <f t="shared" si="5"/>
        <v>695.5028827674568</v>
      </c>
      <c r="G132" s="10">
        <v>662</v>
      </c>
    </row>
    <row r="133" spans="3:7" ht="12.75">
      <c r="C133" s="5"/>
      <c r="D133" s="9"/>
      <c r="F133" s="14"/>
      <c r="G133" s="10"/>
    </row>
    <row r="134" spans="2:7" ht="12.75">
      <c r="B134" s="8" t="s">
        <v>37</v>
      </c>
      <c r="D134" s="8"/>
      <c r="F134" s="14"/>
      <c r="G134" s="10"/>
    </row>
    <row r="135" spans="2:7" ht="12.75">
      <c r="B135" s="8" t="s">
        <v>65</v>
      </c>
      <c r="C135" s="8"/>
      <c r="D135" s="8"/>
      <c r="F135" s="14"/>
      <c r="G135" s="10"/>
    </row>
    <row r="136" spans="3:7" ht="12.75">
      <c r="C136" s="5" t="s">
        <v>39</v>
      </c>
      <c r="F136" s="15">
        <f>(F124/Calculs!$F$16/12+F113)</f>
        <v>82</v>
      </c>
      <c r="G136" s="15">
        <f>(G124/Calculs!$F$16/12+G113)</f>
        <v>78.05</v>
      </c>
    </row>
    <row r="137" spans="3:7" ht="12.75">
      <c r="C137" s="5" t="s">
        <v>40</v>
      </c>
      <c r="F137" s="15">
        <f>(F125/Calculs!$F$16/12+F114)</f>
        <v>188.4084726729272</v>
      </c>
      <c r="G137" s="15">
        <f>(G125/Calculs!$F$16/12+G114)</f>
        <v>179.33269868441425</v>
      </c>
    </row>
    <row r="138" spans="3:7" ht="12.75">
      <c r="C138" s="5" t="s">
        <v>41</v>
      </c>
      <c r="F138" s="15">
        <f>(F126/Calculs!$F$16/12+F115)</f>
        <v>201.36025345573887</v>
      </c>
      <c r="G138" s="15">
        <f>(G126/Calculs!$F$16/12+G115)</f>
        <v>191.6605827100051</v>
      </c>
    </row>
    <row r="139" spans="3:7" ht="12.75">
      <c r="C139" s="5" t="s">
        <v>42</v>
      </c>
      <c r="F139" s="15">
        <f>(F127/Calculs!$F$16/12+F116)</f>
        <v>206.38533063629245</v>
      </c>
      <c r="G139" s="15">
        <f>(G127/Calculs!$F$16/12+G116)</f>
        <v>196.44359824588565</v>
      </c>
    </row>
    <row r="140" spans="3:7" ht="12.75">
      <c r="C140" s="5" t="s">
        <v>43</v>
      </c>
      <c r="F140" s="15">
        <f>(F128/Calculs!$F$16/12+F117)</f>
        <v>201.36025345573887</v>
      </c>
      <c r="G140" s="15">
        <f>(G128/Calculs!$F$16/12+G117)</f>
        <v>191.6605827100051</v>
      </c>
    </row>
    <row r="141" spans="3:7" ht="12.75">
      <c r="C141" s="5" t="s">
        <v>44</v>
      </c>
      <c r="F141" s="15">
        <f>(F129/Calculs!$F$16/12+F118)</f>
        <v>214.33426782891783</v>
      </c>
      <c r="G141" s="15">
        <f>(G129/Calculs!$F$16/12+G118)</f>
        <v>204.00962931764678</v>
      </c>
    </row>
    <row r="142" spans="3:7" ht="12.75">
      <c r="C142" s="5" t="s">
        <v>45</v>
      </c>
      <c r="F142" s="15">
        <f>(F130/Calculs!$F$16/12+F119)</f>
        <v>220.98239710628425</v>
      </c>
      <c r="G142" s="15">
        <f>(G130/Calculs!$F$16/12+G119)</f>
        <v>210.33751334323762</v>
      </c>
    </row>
    <row r="143" spans="3:7" ht="12.75">
      <c r="C143" s="5" t="s">
        <v>46</v>
      </c>
      <c r="F143" s="15">
        <f>(F131/Calculs!$F$16/12+F120)</f>
        <v>206.38533063629245</v>
      </c>
      <c r="G143" s="15">
        <f>(G131/Calculs!$F$16/12+G120)</f>
        <v>196.44359824588565</v>
      </c>
    </row>
    <row r="144" spans="3:7" ht="12.75">
      <c r="C144" s="5" t="s">
        <v>47</v>
      </c>
      <c r="F144" s="15">
        <f>(F132/Calculs!$F$16/12+F121)</f>
        <v>214.33426782891783</v>
      </c>
      <c r="G144" s="15">
        <f>(G132/Calculs!$F$16/12+G121)</f>
        <v>204.00962931764678</v>
      </c>
    </row>
    <row r="145" spans="3:7" ht="12.75">
      <c r="C145" s="5"/>
      <c r="D145" s="5"/>
      <c r="F145" s="14"/>
      <c r="G145" s="10"/>
    </row>
    <row r="146" spans="2:7" ht="12.75">
      <c r="B146" s="8" t="s">
        <v>48</v>
      </c>
      <c r="F146" s="14"/>
      <c r="G146" s="10"/>
    </row>
    <row r="147" spans="2:6" ht="12.75">
      <c r="B147" s="8" t="s">
        <v>49</v>
      </c>
      <c r="F147" s="1"/>
    </row>
    <row r="148" spans="3:7" ht="12.75">
      <c r="C148" s="5" t="s">
        <v>39</v>
      </c>
      <c r="F148" s="16">
        <f aca="true" t="shared" si="6" ref="F148:G156">F136/2</f>
        <v>41</v>
      </c>
      <c r="G148" s="16">
        <f t="shared" si="6"/>
        <v>39.025</v>
      </c>
    </row>
    <row r="149" spans="3:7" ht="12.75">
      <c r="C149" s="5" t="s">
        <v>40</v>
      </c>
      <c r="F149" s="16">
        <f t="shared" si="6"/>
        <v>94.2042363364636</v>
      </c>
      <c r="G149" s="16">
        <f t="shared" si="6"/>
        <v>89.66634934220713</v>
      </c>
    </row>
    <row r="150" spans="3:7" ht="12.75">
      <c r="C150" s="5" t="s">
        <v>41</v>
      </c>
      <c r="F150" s="16">
        <f t="shared" si="6"/>
        <v>100.68012672786944</v>
      </c>
      <c r="G150" s="16">
        <f t="shared" si="6"/>
        <v>95.83029135500254</v>
      </c>
    </row>
    <row r="151" spans="3:7" ht="12.75">
      <c r="C151" s="5" t="s">
        <v>42</v>
      </c>
      <c r="F151" s="16">
        <f t="shared" si="6"/>
        <v>103.19266531814623</v>
      </c>
      <c r="G151" s="16">
        <f t="shared" si="6"/>
        <v>98.22179912294283</v>
      </c>
    </row>
    <row r="152" spans="3:7" ht="12.75">
      <c r="C152" s="5" t="s">
        <v>43</v>
      </c>
      <c r="F152" s="16">
        <f t="shared" si="6"/>
        <v>100.68012672786944</v>
      </c>
      <c r="G152" s="16">
        <f t="shared" si="6"/>
        <v>95.83029135500254</v>
      </c>
    </row>
    <row r="153" spans="3:7" ht="12.75">
      <c r="C153" s="5" t="s">
        <v>44</v>
      </c>
      <c r="F153" s="16">
        <f t="shared" si="6"/>
        <v>107.16713391445892</v>
      </c>
      <c r="G153" s="16">
        <f t="shared" si="6"/>
        <v>102.00481465882339</v>
      </c>
    </row>
    <row r="154" spans="3:7" ht="12.75">
      <c r="C154" s="5" t="s">
        <v>45</v>
      </c>
      <c r="F154" s="16">
        <f t="shared" si="6"/>
        <v>110.49119855314213</v>
      </c>
      <c r="G154" s="16">
        <f t="shared" si="6"/>
        <v>105.16875667161881</v>
      </c>
    </row>
    <row r="155" spans="3:7" ht="12.75">
      <c r="C155" s="5" t="s">
        <v>46</v>
      </c>
      <c r="F155" s="16">
        <f t="shared" si="6"/>
        <v>103.19266531814623</v>
      </c>
      <c r="G155" s="16">
        <f t="shared" si="6"/>
        <v>98.22179912294283</v>
      </c>
    </row>
    <row r="156" spans="3:7" ht="12.75">
      <c r="C156" s="5" t="s">
        <v>47</v>
      </c>
      <c r="F156" s="16">
        <f t="shared" si="6"/>
        <v>107.16713391445892</v>
      </c>
      <c r="G156" s="16">
        <f t="shared" si="6"/>
        <v>102.00481465882339</v>
      </c>
    </row>
    <row r="157" spans="3:7" ht="12.75">
      <c r="C157" s="5"/>
      <c r="F157" s="16"/>
      <c r="G157" s="16"/>
    </row>
    <row r="158" spans="2:6" ht="12.75">
      <c r="B158" s="17" t="s">
        <v>50</v>
      </c>
      <c r="F158" s="1"/>
    </row>
    <row r="159" spans="3:7" ht="12.75">
      <c r="C159" s="5" t="s">
        <v>39</v>
      </c>
      <c r="F159" s="6">
        <f>F136/128</f>
        <v>0.640625</v>
      </c>
      <c r="G159" s="6">
        <f>G136/128</f>
        <v>0.609765625</v>
      </c>
    </row>
    <row r="160" spans="3:7" ht="12.75">
      <c r="C160" s="5" t="s">
        <v>40</v>
      </c>
      <c r="F160" s="6">
        <f aca="true" t="shared" si="7" ref="F160:G167">F137/128</f>
        <v>1.4719411927572437</v>
      </c>
      <c r="G160" s="6">
        <f t="shared" si="7"/>
        <v>1.4010367084719864</v>
      </c>
    </row>
    <row r="161" spans="3:7" ht="12.75">
      <c r="C161" s="5" t="s">
        <v>41</v>
      </c>
      <c r="F161" s="6">
        <f t="shared" si="7"/>
        <v>1.57312698012296</v>
      </c>
      <c r="G161" s="6">
        <f t="shared" si="7"/>
        <v>1.4973483024219147</v>
      </c>
    </row>
    <row r="162" spans="3:7" ht="12.75">
      <c r="C162" s="5" t="s">
        <v>42</v>
      </c>
      <c r="F162" s="6">
        <f t="shared" si="7"/>
        <v>1.6123853955960348</v>
      </c>
      <c r="G162" s="6">
        <f t="shared" si="7"/>
        <v>1.5347156112959817</v>
      </c>
    </row>
    <row r="163" spans="3:7" ht="12.75">
      <c r="C163" s="5" t="s">
        <v>43</v>
      </c>
      <c r="F163" s="6">
        <f t="shared" si="7"/>
        <v>1.57312698012296</v>
      </c>
      <c r="G163" s="6">
        <f t="shared" si="7"/>
        <v>1.4973483024219147</v>
      </c>
    </row>
    <row r="164" spans="3:7" ht="12.75">
      <c r="C164" s="5" t="s">
        <v>44</v>
      </c>
      <c r="F164" s="6">
        <f t="shared" si="7"/>
        <v>1.6744864674134206</v>
      </c>
      <c r="G164" s="6">
        <f t="shared" si="7"/>
        <v>1.5938252290441155</v>
      </c>
    </row>
    <row r="165" spans="3:7" ht="12.75">
      <c r="C165" s="5" t="s">
        <v>45</v>
      </c>
      <c r="F165" s="6">
        <f t="shared" si="7"/>
        <v>1.7264249773928457</v>
      </c>
      <c r="G165" s="6">
        <f t="shared" si="7"/>
        <v>1.6432618229940439</v>
      </c>
    </row>
    <row r="166" spans="3:7" ht="12.75">
      <c r="C166" s="5" t="s">
        <v>46</v>
      </c>
      <c r="F166" s="6">
        <f t="shared" si="7"/>
        <v>1.6123853955960348</v>
      </c>
      <c r="G166" s="6">
        <f t="shared" si="7"/>
        <v>1.5347156112959817</v>
      </c>
    </row>
    <row r="167" spans="3:7" ht="12.75">
      <c r="C167" s="5" t="s">
        <v>47</v>
      </c>
      <c r="D167" s="5"/>
      <c r="F167" s="6">
        <f t="shared" si="7"/>
        <v>1.6744864674134206</v>
      </c>
      <c r="G167" s="6">
        <f t="shared" si="7"/>
        <v>1.5938252290441155</v>
      </c>
    </row>
    <row r="168" spans="3:6" ht="12.75">
      <c r="C168" s="5"/>
      <c r="F168" s="16"/>
    </row>
    <row r="169" spans="2:7" ht="12.75">
      <c r="B169" s="2" t="s">
        <v>66</v>
      </c>
      <c r="C169" s="3"/>
      <c r="D169" s="3"/>
      <c r="E169" s="3"/>
      <c r="F169" s="4" t="s">
        <v>1</v>
      </c>
      <c r="G169" s="4" t="s">
        <v>2</v>
      </c>
    </row>
    <row r="170" spans="3:7" ht="12.75">
      <c r="C170" s="5" t="s">
        <v>67</v>
      </c>
      <c r="F170" s="10">
        <v>1641</v>
      </c>
      <c r="G170" s="10">
        <f>1105*2</f>
        <v>2210</v>
      </c>
    </row>
    <row r="171" spans="3:7" ht="12.75">
      <c r="C171" s="5" t="s">
        <v>68</v>
      </c>
      <c r="D171" s="9"/>
      <c r="F171" s="10">
        <v>185.5</v>
      </c>
      <c r="G171" s="10">
        <f>118.33*2</f>
        <v>236.66</v>
      </c>
    </row>
    <row r="172" ht="12.75"/>
    <row r="173" ht="12.75">
      <c r="G173" s="20"/>
    </row>
    <row r="175" ht="12.75">
      <c r="G175" s="20"/>
    </row>
  </sheetData>
  <printOptions/>
  <pageMargins left="0.75" right="0.75" top="1" bottom="1" header="0.4921259845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2"/>
  <sheetViews>
    <sheetView workbookViewId="0" topLeftCell="A1">
      <selection activeCell="G10" sqref="G10"/>
    </sheetView>
  </sheetViews>
  <sheetFormatPr defaultColWidth="11.421875" defaultRowHeight="12.75"/>
  <cols>
    <col min="1" max="1" width="2.8515625" style="1" customWidth="1"/>
    <col min="2" max="5" width="11.421875" style="1" customWidth="1"/>
    <col min="6" max="6" width="23.8515625" style="1" customWidth="1"/>
    <col min="7" max="7" width="11.28125" style="22" customWidth="1"/>
    <col min="8" max="8" width="3.28125" style="1" customWidth="1"/>
    <col min="9" max="16384" width="11.421875" style="1" customWidth="1"/>
  </cols>
  <sheetData>
    <row r="2" spans="2:7" ht="12.75">
      <c r="B2" s="2" t="s">
        <v>69</v>
      </c>
      <c r="C2" s="3"/>
      <c r="D2" s="3"/>
      <c r="E2" s="3"/>
      <c r="F2" s="21"/>
      <c r="G2" s="2"/>
    </row>
    <row r="3" spans="3:7" ht="12.75">
      <c r="C3" s="5" t="s">
        <v>69</v>
      </c>
      <c r="G3" s="8">
        <v>2</v>
      </c>
    </row>
    <row r="4" ht="12.75"/>
    <row r="5" spans="2:7" ht="12.75">
      <c r="B5" s="2" t="s">
        <v>70</v>
      </c>
      <c r="C5" s="3"/>
      <c r="D5" s="3"/>
      <c r="E5" s="3"/>
      <c r="F5" s="21"/>
      <c r="G5" s="2"/>
    </row>
    <row r="6" spans="2:7" ht="12.75">
      <c r="B6" s="23"/>
      <c r="C6" s="5" t="s">
        <v>70</v>
      </c>
      <c r="D6" s="18"/>
      <c r="E6" s="18"/>
      <c r="F6" s="19"/>
      <c r="G6" s="8">
        <v>2</v>
      </c>
    </row>
    <row r="7" ht="12.75"/>
    <row r="8" spans="2:7" ht="12.75">
      <c r="B8" s="2" t="s">
        <v>71</v>
      </c>
      <c r="C8" s="3"/>
      <c r="D8" s="3"/>
      <c r="E8" s="3"/>
      <c r="F8" s="21"/>
      <c r="G8" s="2"/>
    </row>
    <row r="9" spans="2:7" ht="12.75">
      <c r="B9" s="5"/>
      <c r="C9" s="5" t="s">
        <v>72</v>
      </c>
      <c r="F9" s="5"/>
      <c r="G9" s="24">
        <v>20000</v>
      </c>
    </row>
    <row r="10" spans="2:6" ht="12.75">
      <c r="B10" s="5"/>
      <c r="C10" s="5" t="s">
        <v>73</v>
      </c>
      <c r="F10" s="24">
        <v>2</v>
      </c>
    </row>
    <row r="11" spans="2:7" ht="12.75">
      <c r="B11" s="5"/>
      <c r="C11" s="5" t="s">
        <v>74</v>
      </c>
      <c r="F11" s="5"/>
      <c r="G11" s="26">
        <v>1</v>
      </c>
    </row>
    <row r="12" spans="3:7" ht="12.75">
      <c r="C12" s="5" t="s">
        <v>75</v>
      </c>
      <c r="G12" s="8">
        <v>2</v>
      </c>
    </row>
    <row r="13" spans="3:7" ht="12.75">
      <c r="C13" s="5" t="s">
        <v>76</v>
      </c>
      <c r="G13" s="27">
        <v>2</v>
      </c>
    </row>
    <row r="14" ht="12.75"/>
    <row r="15" spans="2:7" ht="12.75">
      <c r="B15" s="2" t="s">
        <v>77</v>
      </c>
      <c r="C15" s="3"/>
      <c r="D15" s="3"/>
      <c r="E15" s="3"/>
      <c r="F15" s="21"/>
      <c r="G15" s="2"/>
    </row>
    <row r="16" spans="2:7" ht="12.75">
      <c r="B16" s="23"/>
      <c r="C16" s="5" t="s">
        <v>78</v>
      </c>
      <c r="D16" s="18"/>
      <c r="E16" s="18"/>
      <c r="F16" s="28"/>
      <c r="G16" s="29">
        <v>0.25</v>
      </c>
    </row>
    <row r="17" spans="3:7" ht="12.75">
      <c r="C17" s="5" t="s">
        <v>79</v>
      </c>
      <c r="D17" s="5"/>
      <c r="E17" s="5"/>
      <c r="G17" s="29">
        <v>0.15</v>
      </c>
    </row>
    <row r="18" spans="3:7" ht="12.75">
      <c r="C18" s="5" t="s">
        <v>80</v>
      </c>
      <c r="D18" s="5"/>
      <c r="E18" s="5"/>
      <c r="G18" s="29">
        <v>0.1</v>
      </c>
    </row>
    <row r="20" spans="2:7" ht="12.75">
      <c r="B20" s="2" t="s">
        <v>0</v>
      </c>
      <c r="C20" s="3"/>
      <c r="D20" s="3"/>
      <c r="E20" s="3"/>
      <c r="F20" s="21"/>
      <c r="G20" s="2"/>
    </row>
    <row r="21" spans="3:7" ht="12.75">
      <c r="C21" s="5" t="s">
        <v>81</v>
      </c>
      <c r="F21" s="16"/>
      <c r="G21" s="24">
        <v>3</v>
      </c>
    </row>
    <row r="22" spans="3:7" ht="12.75">
      <c r="C22" s="5" t="s">
        <v>82</v>
      </c>
      <c r="F22" s="16"/>
      <c r="G22" s="24">
        <f>G21</f>
        <v>3</v>
      </c>
    </row>
    <row r="23" spans="3:7" ht="12.75">
      <c r="C23" s="5" t="s">
        <v>83</v>
      </c>
      <c r="G23" s="30">
        <v>0.14</v>
      </c>
    </row>
    <row r="24" spans="3:7" ht="12.75">
      <c r="C24" s="5" t="s">
        <v>84</v>
      </c>
      <c r="F24" s="31"/>
      <c r="G24" s="29">
        <v>0.05</v>
      </c>
    </row>
    <row r="25" spans="3:7" ht="12.75">
      <c r="C25" s="5"/>
      <c r="F25" s="31"/>
      <c r="G25" s="29"/>
    </row>
    <row r="26" spans="2:7" ht="12.75">
      <c r="B26" s="2" t="s">
        <v>85</v>
      </c>
      <c r="C26" s="3"/>
      <c r="D26" s="3"/>
      <c r="E26" s="3"/>
      <c r="F26" s="21"/>
      <c r="G26" s="2"/>
    </row>
    <row r="27" spans="2:7" ht="12.75">
      <c r="B27" s="8" t="s">
        <v>11</v>
      </c>
      <c r="C27" s="5"/>
      <c r="F27" s="31"/>
      <c r="G27" s="29"/>
    </row>
    <row r="28" spans="3:7" ht="12.75">
      <c r="C28" s="5" t="s">
        <v>86</v>
      </c>
      <c r="D28" s="9"/>
      <c r="G28" s="32">
        <v>34000</v>
      </c>
    </row>
    <row r="29" spans="3:7" ht="12.75">
      <c r="C29" s="5" t="s">
        <v>87</v>
      </c>
      <c r="D29" s="9"/>
      <c r="G29" s="32">
        <v>10</v>
      </c>
    </row>
    <row r="30" spans="3:7" ht="12.75">
      <c r="C30" s="5"/>
      <c r="D30" s="9"/>
      <c r="G30" s="32"/>
    </row>
    <row r="31" ht="12.75">
      <c r="B31" s="8" t="s">
        <v>88</v>
      </c>
    </row>
    <row r="32" spans="3:7" ht="12.75">
      <c r="C32" s="5" t="s">
        <v>89</v>
      </c>
      <c r="F32" s="10"/>
      <c r="G32" s="32">
        <v>5</v>
      </c>
    </row>
    <row r="33" spans="3:7" ht="12.75">
      <c r="C33" s="5" t="s">
        <v>90</v>
      </c>
      <c r="F33" s="10"/>
      <c r="G33" s="32">
        <v>4</v>
      </c>
    </row>
    <row r="34" spans="3:7" ht="12.75">
      <c r="C34" s="5"/>
      <c r="G34" s="24"/>
    </row>
    <row r="35" spans="2:7" ht="12.75">
      <c r="B35" s="8" t="s">
        <v>91</v>
      </c>
      <c r="C35" s="5"/>
      <c r="F35" s="31"/>
      <c r="G35" s="29"/>
    </row>
    <row r="36" spans="3:7" ht="12.75">
      <c r="C36" s="5" t="s">
        <v>92</v>
      </c>
      <c r="D36" s="9"/>
      <c r="E36" s="25"/>
      <c r="F36" s="13"/>
      <c r="G36" s="24">
        <f>G32</f>
        <v>5</v>
      </c>
    </row>
    <row r="37" spans="3:7" ht="12.75">
      <c r="C37" s="5" t="s">
        <v>93</v>
      </c>
      <c r="D37" s="9"/>
      <c r="E37" s="25"/>
      <c r="F37" s="13"/>
      <c r="G37" s="8">
        <v>3</v>
      </c>
    </row>
    <row r="38" spans="3:7" ht="12.75">
      <c r="C38" s="5"/>
      <c r="D38" s="9"/>
      <c r="F38" s="13"/>
      <c r="G38" s="8"/>
    </row>
    <row r="39" spans="2:7" ht="12.75">
      <c r="B39" s="8" t="s">
        <v>66</v>
      </c>
      <c r="C39" s="5"/>
      <c r="F39" s="31"/>
      <c r="G39" s="29"/>
    </row>
    <row r="40" spans="2:7" ht="12.75">
      <c r="B40" s="5"/>
      <c r="C40" s="5" t="s">
        <v>94</v>
      </c>
      <c r="D40" s="25"/>
      <c r="E40" s="25"/>
      <c r="F40" s="33"/>
      <c r="G40" s="34">
        <v>0.75</v>
      </c>
    </row>
    <row r="41" spans="2:7" ht="12.75">
      <c r="B41" s="5"/>
      <c r="C41" s="5" t="s">
        <v>81</v>
      </c>
      <c r="G41" s="35">
        <f>G36</f>
        <v>5</v>
      </c>
    </row>
    <row r="42" spans="3:7" ht="12.75">
      <c r="C42" s="5"/>
      <c r="D42" s="9"/>
      <c r="F42" s="13"/>
      <c r="G42" s="8"/>
    </row>
    <row r="43" spans="2:7" ht="12.75">
      <c r="B43" s="8" t="s">
        <v>95</v>
      </c>
      <c r="C43" s="5"/>
      <c r="D43" s="9"/>
      <c r="F43" s="13"/>
      <c r="G43" s="8"/>
    </row>
    <row r="44" spans="2:7" ht="14.25" customHeight="1">
      <c r="B44" s="8"/>
      <c r="C44" s="5" t="s">
        <v>96</v>
      </c>
      <c r="F44" s="10"/>
      <c r="G44" s="32">
        <v>30000</v>
      </c>
    </row>
    <row r="45" spans="2:7" ht="14.25" customHeight="1">
      <c r="B45" s="8"/>
      <c r="C45" s="5" t="s">
        <v>97</v>
      </c>
      <c r="F45" s="10"/>
      <c r="G45" s="32">
        <v>10</v>
      </c>
    </row>
    <row r="46" spans="2:7" ht="14.25" customHeight="1">
      <c r="B46" s="8"/>
      <c r="C46" s="5" t="s">
        <v>98</v>
      </c>
      <c r="F46" s="10"/>
      <c r="G46" s="32">
        <v>10000</v>
      </c>
    </row>
    <row r="47" spans="3:7" ht="12.75">
      <c r="C47" s="5"/>
      <c r="D47" s="9"/>
      <c r="F47" s="13"/>
      <c r="G47" s="8"/>
    </row>
    <row r="48" spans="2:7" ht="12.75">
      <c r="B48" s="8" t="s">
        <v>99</v>
      </c>
      <c r="C48" s="5"/>
      <c r="F48" s="31"/>
      <c r="G48" s="29"/>
    </row>
    <row r="49" spans="2:7" ht="12.75">
      <c r="B49" s="8"/>
      <c r="C49" s="5" t="s">
        <v>100</v>
      </c>
      <c r="F49" s="10"/>
      <c r="G49" s="32">
        <v>2</v>
      </c>
    </row>
    <row r="50" spans="2:7" ht="14.25" customHeight="1">
      <c r="B50" s="8"/>
      <c r="C50" s="5" t="s">
        <v>101</v>
      </c>
      <c r="F50" s="10"/>
      <c r="G50" s="32">
        <v>5</v>
      </c>
    </row>
    <row r="51" ht="12.75">
      <c r="C51" s="36"/>
    </row>
    <row r="52" spans="2:6" ht="12.75">
      <c r="B52" s="8" t="s">
        <v>102</v>
      </c>
      <c r="C52" s="18"/>
      <c r="D52" s="18"/>
      <c r="E52" s="18"/>
      <c r="F52" s="19"/>
    </row>
    <row r="53" spans="2:7" ht="12.75">
      <c r="B53" s="5"/>
      <c r="C53" s="5" t="s">
        <v>103</v>
      </c>
      <c r="D53" s="9"/>
      <c r="F53" s="10"/>
      <c r="G53" s="32">
        <v>3</v>
      </c>
    </row>
    <row r="55" spans="2:7" ht="12.75">
      <c r="B55" s="2" t="s">
        <v>104</v>
      </c>
      <c r="C55" s="3"/>
      <c r="D55" s="3"/>
      <c r="E55" s="3"/>
      <c r="F55" s="21"/>
      <c r="G55" s="2"/>
    </row>
    <row r="56" spans="2:7" ht="12.75">
      <c r="B56" s="23"/>
      <c r="C56" s="5" t="s">
        <v>105</v>
      </c>
      <c r="D56" s="5"/>
      <c r="F56" s="5"/>
      <c r="G56" s="24">
        <f>G58*G57</f>
        <v>20000</v>
      </c>
    </row>
    <row r="57" spans="2:7" ht="12.75">
      <c r="B57" s="23"/>
      <c r="C57" s="5" t="s">
        <v>106</v>
      </c>
      <c r="D57" s="5"/>
      <c r="F57" s="5"/>
      <c r="G57" s="24">
        <v>40</v>
      </c>
    </row>
    <row r="58" spans="2:7" ht="12.75">
      <c r="B58" s="5"/>
      <c r="C58" s="5" t="s">
        <v>107</v>
      </c>
      <c r="D58" s="5"/>
      <c r="F58" s="5"/>
      <c r="G58" s="24">
        <v>500</v>
      </c>
    </row>
    <row r="59" spans="3:7" ht="12.75">
      <c r="C59" s="5" t="s">
        <v>108</v>
      </c>
      <c r="D59" s="5"/>
      <c r="F59" s="5"/>
      <c r="G59" s="24">
        <v>5</v>
      </c>
    </row>
    <row r="60" spans="3:7" ht="12.75">
      <c r="C60" s="5" t="s">
        <v>109</v>
      </c>
      <c r="F60" s="5"/>
      <c r="G60" s="30">
        <v>0.1</v>
      </c>
    </row>
    <row r="61" spans="3:7" ht="12.75">
      <c r="C61" s="5" t="s">
        <v>93</v>
      </c>
      <c r="F61" s="5"/>
      <c r="G61" s="24">
        <f>G37</f>
        <v>3</v>
      </c>
    </row>
    <row r="63" spans="2:7" ht="12.75">
      <c r="B63" s="2" t="s">
        <v>110</v>
      </c>
      <c r="C63" s="3"/>
      <c r="D63" s="3"/>
      <c r="E63" s="3"/>
      <c r="F63" s="21"/>
      <c r="G63" s="2"/>
    </row>
    <row r="64" spans="2:7" ht="12.75">
      <c r="B64" s="5"/>
      <c r="C64" s="5" t="s">
        <v>111</v>
      </c>
      <c r="G64" s="37">
        <v>0.136</v>
      </c>
    </row>
    <row r="65" spans="2:7" ht="12.75">
      <c r="B65" s="5"/>
      <c r="C65" s="5" t="s">
        <v>112</v>
      </c>
      <c r="F65" s="5"/>
      <c r="G65" s="30">
        <v>0.25</v>
      </c>
    </row>
    <row r="66" spans="2:7" ht="12.75">
      <c r="B66" s="5"/>
      <c r="C66" s="5"/>
      <c r="F66" s="5"/>
      <c r="G66" s="29"/>
    </row>
    <row r="67" spans="2:7" ht="12.75">
      <c r="B67" s="2" t="s">
        <v>113</v>
      </c>
      <c r="C67" s="3"/>
      <c r="D67" s="3"/>
      <c r="E67" s="3"/>
      <c r="F67" s="4"/>
      <c r="G67" s="4"/>
    </row>
    <row r="68" spans="2:7" ht="12.75">
      <c r="B68" s="38"/>
      <c r="C68" s="5" t="s">
        <v>114</v>
      </c>
      <c r="G68" s="37">
        <v>0.067</v>
      </c>
    </row>
    <row r="69" spans="2:7" ht="12.75">
      <c r="B69" s="38"/>
      <c r="C69" s="5" t="s">
        <v>115</v>
      </c>
      <c r="G69" s="30">
        <v>0.11</v>
      </c>
    </row>
    <row r="70" spans="2:6" ht="12.75">
      <c r="B70" s="5"/>
      <c r="F70" s="5"/>
    </row>
    <row r="71" spans="2:7" ht="12.75" hidden="1">
      <c r="B71" s="5"/>
      <c r="E71" s="1" t="s">
        <v>116</v>
      </c>
      <c r="F71" s="5" t="s">
        <v>117</v>
      </c>
      <c r="G71" s="33">
        <v>37408</v>
      </c>
    </row>
    <row r="72" spans="5:7" ht="12.75" hidden="1">
      <c r="E72" s="1" t="s">
        <v>118</v>
      </c>
      <c r="F72" s="5" t="s">
        <v>119</v>
      </c>
      <c r="G72" s="33">
        <v>38412</v>
      </c>
    </row>
    <row r="73" ht="12.75" hidden="1"/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17"/>
  <sheetViews>
    <sheetView workbookViewId="0" topLeftCell="A1">
      <selection activeCell="A1" sqref="A1"/>
    </sheetView>
  </sheetViews>
  <sheetFormatPr defaultColWidth="11.421875" defaultRowHeight="12.75" outlineLevelRow="1"/>
  <cols>
    <col min="1" max="1" width="2.00390625" style="5" customWidth="1"/>
    <col min="2" max="2" width="10.28125" style="5" customWidth="1"/>
    <col min="3" max="3" width="55.7109375" style="5" bestFit="1" customWidth="1"/>
    <col min="4" max="4" width="13.421875" style="5" bestFit="1" customWidth="1"/>
    <col min="5" max="5" width="14.140625" style="40" customWidth="1"/>
    <col min="6" max="6" width="14.57421875" style="40" customWidth="1"/>
    <col min="7" max="16384" width="11.421875" style="5" customWidth="1"/>
  </cols>
  <sheetData>
    <row r="2" spans="2:6" ht="11.25">
      <c r="B2" s="2" t="s">
        <v>120</v>
      </c>
      <c r="C2" s="21"/>
      <c r="D2" s="21"/>
      <c r="E2" s="39"/>
      <c r="F2" s="39"/>
    </row>
    <row r="3" spans="3:6" ht="12.75">
      <c r="C3" s="5" t="s">
        <v>121</v>
      </c>
      <c r="D3" s="1"/>
      <c r="F3" s="41">
        <f>'Hypothèses et paramètres'!G9*'Hypothèses et paramètres'!G16*'Hypothèses et paramètres'!G17</f>
        <v>750</v>
      </c>
    </row>
    <row r="4" spans="3:6" ht="12.75">
      <c r="C4" s="5" t="str">
        <f>"Nombre de lignes projetées à m + "&amp;'Hypothèses et paramètres'!G37&amp;" mois (pour le dimensionnement des câbles et DSLAMs)"</f>
        <v>Nombre de lignes projetées à m + 3 mois (pour le dimensionnement des câbles et DSLAMs)</v>
      </c>
      <c r="D4" s="1"/>
      <c r="F4" s="41">
        <f>F3*((1+'Hypothèses et paramètres'!G18)^'Hypothèses et paramètres'!G61)</f>
        <v>998.2500000000003</v>
      </c>
    </row>
    <row r="5" spans="3:6" ht="11.25">
      <c r="C5" s="5" t="s">
        <v>122</v>
      </c>
      <c r="F5" s="27">
        <f>ROUNDUP(F3/'Hypothèses et paramètres'!G58,0)</f>
        <v>2</v>
      </c>
    </row>
    <row r="6" spans="3:6" ht="11.25">
      <c r="C6" s="5" t="s">
        <v>123</v>
      </c>
      <c r="F6" s="27">
        <f>ROUNDUP(F4/'Hypothèses et paramètres'!G58,0)</f>
        <v>2</v>
      </c>
    </row>
    <row r="7" spans="3:6" ht="11.25">
      <c r="C7" s="5" t="s">
        <v>124</v>
      </c>
      <c r="F7" s="42">
        <f>ROUNDUP(F5/'Hypothèses et paramètres'!$G$33,0)</f>
        <v>1</v>
      </c>
    </row>
    <row r="8" spans="3:6" ht="11.25">
      <c r="C8" s="5" t="s">
        <v>125</v>
      </c>
      <c r="F8" s="42">
        <f>ROUNDUP(F6/'Hypothèses et paramètres'!$G$33,0)</f>
        <v>1</v>
      </c>
    </row>
    <row r="9" spans="3:6" ht="11.25">
      <c r="C9" s="5" t="s">
        <v>126</v>
      </c>
      <c r="E9" s="43"/>
      <c r="F9" s="27">
        <f>ROUNDUP(F3/128,0)</f>
        <v>6</v>
      </c>
    </row>
    <row r="10" spans="3:6" ht="11.25">
      <c r="C10" s="5" t="s">
        <v>127</v>
      </c>
      <c r="E10" s="43"/>
      <c r="F10" s="27">
        <f>ROUNDUP(F4/128,0)</f>
        <v>8</v>
      </c>
    </row>
    <row r="11" spans="2:6" ht="11.25">
      <c r="B11" s="44"/>
      <c r="C11" s="5" t="s">
        <v>128</v>
      </c>
      <c r="E11" s="43"/>
      <c r="F11" s="27">
        <f>F8*'Hypothèses et paramètres'!G40</f>
        <v>0.75</v>
      </c>
    </row>
    <row r="13" spans="2:6" ht="11.25">
      <c r="B13" s="2" t="s">
        <v>129</v>
      </c>
      <c r="C13" s="21"/>
      <c r="D13" s="21"/>
      <c r="E13" s="39"/>
      <c r="F13" s="39"/>
    </row>
    <row r="14" spans="3:6" ht="11.25">
      <c r="C14" s="5" t="s">
        <v>130</v>
      </c>
      <c r="F14" s="45">
        <f>(1+'Hypothèses et paramètres'!G64)*(1+'Hypothèses et paramètres'!G65)-1</f>
        <v>0.42000000000000015</v>
      </c>
    </row>
    <row r="15" spans="3:6" ht="11.25">
      <c r="C15" s="5" t="s">
        <v>131</v>
      </c>
      <c r="F15" s="46">
        <f>(((1+'Hypothèses et paramètres'!G64)^(-1))^('Hypothèses et paramètres'!G21)-1)/(((1+'Hypothèses et paramètres'!G64)^(-1))-1)</f>
        <v>2.6551775441380667</v>
      </c>
    </row>
    <row r="16" spans="3:6" ht="11.25">
      <c r="C16" s="5" t="s">
        <v>132</v>
      </c>
      <c r="F16" s="46">
        <f>(((1+'Hypothèses et paramètres'!G64)^(-1))^('Hypothèses et paramètres'!G36)-1)/(((1+'Hypothèses et paramètres'!G64)^(-1))-1)</f>
        <v>3.937767760719961</v>
      </c>
    </row>
    <row r="18" spans="2:6" ht="11.25">
      <c r="B18" s="2" t="s">
        <v>133</v>
      </c>
      <c r="C18" s="21"/>
      <c r="D18" s="21"/>
      <c r="E18" s="39" t="s">
        <v>134</v>
      </c>
      <c r="F18" s="39" t="s">
        <v>135</v>
      </c>
    </row>
    <row r="19" spans="3:6" ht="11.25">
      <c r="C19" s="5" t="s">
        <v>136</v>
      </c>
      <c r="D19" s="5" t="s">
        <v>137</v>
      </c>
      <c r="E19" s="43">
        <f>IF('Hypothèses et paramètres'!G3=1,('Offres de références'!F3)*F3,IF(AND('Hypothèses et paramètres'!G3=2,'Hypothèses et paramètres'!G6=2),'Offres de références'!G3*F3,IF(AND('Hypothèses et paramètres'!G3=2,'Hypothèses et paramètres'!G6=1),'Offres de références'!G4*F3)))/F15/12</f>
        <v>1294.6403556286077</v>
      </c>
      <c r="F19" s="47">
        <f aca="true" t="shared" si="0" ref="F19:F24">E19/$F$3</f>
        <v>1.7261871408381437</v>
      </c>
    </row>
    <row r="20" spans="3:7" ht="11.25">
      <c r="C20" s="5" t="s">
        <v>138</v>
      </c>
      <c r="D20" s="5" t="s">
        <v>137</v>
      </c>
      <c r="E20" s="43">
        <f>IF('Hypothèses et paramètres'!G3=1,(F3*'Hypothèses et paramètres'!G23*'Offres de références'!F5),IF(AND('Hypothèses et paramètres'!G3=2,'Hypothèses et paramètres'!G6=1),(F3*'Hypothèses et paramètres'!G23*'Offres de références'!G6),IF(AND('Hypothèses et paramètres'!G3=2,'Hypothèses et paramètres'!G6=2),(F3*'Hypothèses et paramètres'!G23*'Offres de références'!G5))))/((1+'Hypothèses et paramètres'!G64)^'Hypothèses et paramètres'!G22)/F15/12</f>
        <v>78.67695383436427</v>
      </c>
      <c r="F20" s="47">
        <f t="shared" si="0"/>
        <v>0.1049026051124857</v>
      </c>
      <c r="G20" s="43"/>
    </row>
    <row r="21" spans="3:6" ht="11.25">
      <c r="C21" s="5" t="s">
        <v>7</v>
      </c>
      <c r="D21" s="5" t="s">
        <v>137</v>
      </c>
      <c r="E21" s="43">
        <f>IF('Hypothèses et paramètres'!G6=2,IF('Hypothèses et paramètres'!G3=1,F3*'Offres de références'!F7,F3*'Offres de références'!G7),0)</f>
        <v>1350</v>
      </c>
      <c r="F21" s="47">
        <f t="shared" si="0"/>
        <v>1.8</v>
      </c>
    </row>
    <row r="22" spans="3:6" ht="11.25">
      <c r="C22" s="5" t="s">
        <v>8</v>
      </c>
      <c r="D22" s="5" t="s">
        <v>137</v>
      </c>
      <c r="E22" s="43">
        <f>IF('Hypothèses et paramètres'!G6=2,IF('Hypothèses et paramètres'!G3=1,F3*'Offres de références'!F8,F3*'Offres de références'!G8),0)</f>
        <v>825.0000000000001</v>
      </c>
      <c r="F22" s="47">
        <f t="shared" si="0"/>
        <v>1.1</v>
      </c>
    </row>
    <row r="23" spans="3:6" ht="11.25">
      <c r="C23" s="5" t="s">
        <v>9</v>
      </c>
      <c r="D23" s="5" t="s">
        <v>137</v>
      </c>
      <c r="E23" s="43">
        <f>IF('Hypothèses et paramètres'!G6=1,IF('Hypothèses et paramètres'!G3=1,F3*'Offres de références'!F9,F3*'Offres de références'!G9),0)</f>
        <v>0</v>
      </c>
      <c r="F23" s="47">
        <f t="shared" si="0"/>
        <v>0</v>
      </c>
    </row>
    <row r="24" spans="3:6" ht="11.25">
      <c r="C24" s="5" t="s">
        <v>139</v>
      </c>
      <c r="D24" s="5" t="s">
        <v>137</v>
      </c>
      <c r="E24" s="43">
        <f>IF('Hypothèses et paramètres'!G3=1,'Offres de références'!F10,'Offres de références'!G10)*F3*'Hypothèses et paramètres'!G24/F15/12</f>
        <v>48.25477689161175</v>
      </c>
      <c r="F24" s="47">
        <f t="shared" si="0"/>
        <v>0.064339702522149</v>
      </c>
    </row>
    <row r="25" spans="5:6" ht="11.25">
      <c r="E25" s="43"/>
      <c r="F25" s="47"/>
    </row>
    <row r="26" spans="3:6" ht="11.25">
      <c r="C26" s="8" t="s">
        <v>140</v>
      </c>
      <c r="D26" s="5" t="s">
        <v>137</v>
      </c>
      <c r="E26" s="43">
        <f>SUM(E19:E25)</f>
        <v>3596.5720863545835</v>
      </c>
      <c r="F26" s="47">
        <f>E26/$F$3</f>
        <v>4.7954294484727775</v>
      </c>
    </row>
    <row r="28" spans="2:6" ht="11.25">
      <c r="B28" s="2" t="s">
        <v>104</v>
      </c>
      <c r="C28" s="21"/>
      <c r="D28" s="21"/>
      <c r="E28" s="39" t="s">
        <v>134</v>
      </c>
      <c r="F28" s="39" t="s">
        <v>135</v>
      </c>
    </row>
    <row r="29" spans="3:5" ht="11.25">
      <c r="C29" s="5" t="s">
        <v>141</v>
      </c>
      <c r="D29" s="5" t="s">
        <v>142</v>
      </c>
      <c r="E29" s="48">
        <f>'Hypothèses et paramètres'!G56/((1-(1+F14)^(-'Hypothèses et paramètres'!G59))/F14)/(1+F14)</f>
        <v>7154.720132606684</v>
      </c>
    </row>
    <row r="30" spans="3:6" ht="11.25">
      <c r="C30" s="5" t="s">
        <v>143</v>
      </c>
      <c r="D30" s="5" t="s">
        <v>142</v>
      </c>
      <c r="E30" s="48">
        <f>'Hypothèses et paramètres'!G56*'Hypothèses et paramètres'!G60</f>
        <v>2000</v>
      </c>
      <c r="F30" s="48"/>
    </row>
    <row r="31" spans="3:6" ht="11.25">
      <c r="C31" s="8" t="s">
        <v>144</v>
      </c>
      <c r="D31" s="5" t="s">
        <v>137</v>
      </c>
      <c r="E31" s="43">
        <f>((E29+E30)/2/12)</f>
        <v>381.4466721919452</v>
      </c>
      <c r="F31" s="47">
        <f>E31/$F$3</f>
        <v>0.5085955629225936</v>
      </c>
    </row>
    <row r="32" spans="3:6" ht="11.25">
      <c r="C32" s="5" t="s">
        <v>145</v>
      </c>
      <c r="D32" s="5" t="s">
        <v>146</v>
      </c>
      <c r="E32" s="49">
        <f>(E29+E30)/'Hypothèses et paramètres'!G58/12</f>
        <v>1.5257866887677807</v>
      </c>
      <c r="F32" s="50"/>
    </row>
    <row r="33" spans="3:6" ht="11.25">
      <c r="C33" s="8" t="s">
        <v>147</v>
      </c>
      <c r="D33" s="5" t="s">
        <v>137</v>
      </c>
      <c r="E33" s="43">
        <f>E32*F4</f>
        <v>1523.1165620624377</v>
      </c>
      <c r="F33" s="47">
        <f>E33/$F$3</f>
        <v>2.030822082749917</v>
      </c>
    </row>
    <row r="34" spans="3:6" ht="11.25">
      <c r="C34" s="8"/>
      <c r="D34" s="8"/>
      <c r="E34" s="43"/>
      <c r="F34" s="51"/>
    </row>
    <row r="35" spans="3:6" ht="11.25">
      <c r="C35" s="8" t="s">
        <v>148</v>
      </c>
      <c r="D35" s="5" t="s">
        <v>137</v>
      </c>
      <c r="E35" s="43">
        <f>E31+E33</f>
        <v>1904.563234254383</v>
      </c>
      <c r="F35" s="47">
        <f>E35/$F$3</f>
        <v>2.5394176456725104</v>
      </c>
    </row>
    <row r="36" spans="3:6" ht="11.25">
      <c r="C36" s="52"/>
      <c r="D36" s="52"/>
      <c r="E36" s="53"/>
      <c r="F36" s="46"/>
    </row>
    <row r="37" spans="2:6" ht="11.25">
      <c r="B37" s="2" t="s">
        <v>11</v>
      </c>
      <c r="C37" s="21"/>
      <c r="D37" s="4"/>
      <c r="E37" s="39" t="s">
        <v>134</v>
      </c>
      <c r="F37" s="39" t="s">
        <v>135</v>
      </c>
    </row>
    <row r="38" spans="2:5" ht="11.25">
      <c r="B38" s="8" t="s">
        <v>149</v>
      </c>
      <c r="C38" s="23"/>
      <c r="D38" s="23"/>
      <c r="E38" s="27"/>
    </row>
    <row r="39" spans="3:6" ht="11.25">
      <c r="C39" s="5" t="s">
        <v>150</v>
      </c>
      <c r="D39" s="5" t="s">
        <v>151</v>
      </c>
      <c r="E39" s="48">
        <f>'Hypothèses et paramètres'!G28/((1-(1+'Hypothèses et paramètres'!G64)^(-'Hypothèses et paramètres'!G29))/'Hypothèses et paramètres'!G64)/(1+'Hypothèses et paramètres'!G64)</f>
        <v>5648.60842282494</v>
      </c>
      <c r="F39" s="46"/>
    </row>
    <row r="40" spans="3:6" ht="11.25">
      <c r="C40" s="5" t="s">
        <v>152</v>
      </c>
      <c r="D40" s="5" t="s">
        <v>137</v>
      </c>
      <c r="E40" s="43">
        <f>(E39/12)*F8</f>
        <v>470.71736856874503</v>
      </c>
      <c r="F40" s="47">
        <f>E40/$F$3</f>
        <v>0.62762315809166</v>
      </c>
    </row>
    <row r="41" spans="3:6" ht="11.25">
      <c r="C41" s="5" t="s">
        <v>153</v>
      </c>
      <c r="D41" s="5" t="s">
        <v>137</v>
      </c>
      <c r="E41" s="43">
        <f>IF('Hypothèses et paramètres'!G3=1,'Offres de références'!F15/F16/12*F8,IF('Hypothèses et paramètres'!G3=2,'Offres de références'!G15/F16/12*F8))</f>
        <v>51.84832602452357</v>
      </c>
      <c r="F41" s="47">
        <f>E41/$F$3</f>
        <v>0.06913110136603143</v>
      </c>
    </row>
    <row r="42" spans="3:6" ht="11.25" hidden="1" outlineLevel="1">
      <c r="C42" s="5" t="s">
        <v>16</v>
      </c>
      <c r="E42" s="48">
        <f>IF('Hypothèses et paramètres'!$G$3=1,'Offres de références'!F16*Calculs!$F$8,IF('Hypothèses et paramètres'!$G$3=2,'Offres de références'!G16*Calculs!$F$8))</f>
        <v>119.8</v>
      </c>
      <c r="F42" s="47"/>
    </row>
    <row r="43" spans="3:6" ht="11.25" hidden="1" outlineLevel="1">
      <c r="C43" s="5" t="s">
        <v>17</v>
      </c>
      <c r="E43" s="48">
        <f>IF('Hypothèses et paramètres'!$G$3=1,'Offres de références'!F17*Calculs!$F$8,IF('Hypothèses et paramètres'!$G$3=2,'Offres de références'!G17*Calculs!$F$8))</f>
        <v>73.35</v>
      </c>
      <c r="F43" s="47"/>
    </row>
    <row r="44" spans="3:6" ht="11.25" hidden="1" outlineLevel="1">
      <c r="C44" s="5" t="s">
        <v>18</v>
      </c>
      <c r="E44" s="48">
        <f>IF('Hypothèses et paramètres'!$G$3=1,'Offres de références'!F18*Calculs!$F$8,IF('Hypothèses et paramètres'!$G$3=2,'Offres de références'!G18*Calculs!$F$8))</f>
        <v>62.52</v>
      </c>
      <c r="F44" s="47"/>
    </row>
    <row r="45" spans="3:6" ht="11.25" hidden="1" outlineLevel="1">
      <c r="C45" s="5" t="s">
        <v>19</v>
      </c>
      <c r="E45" s="48">
        <f>IF('Hypothèses et paramètres'!$G$3=1,'Offres de références'!F19*Calculs!$F$8,IF('Hypothèses et paramètres'!$G$3=2,'Offres de références'!G19*Calculs!$F$8))</f>
        <v>47.61</v>
      </c>
      <c r="F45" s="47"/>
    </row>
    <row r="46" spans="3:6" ht="11.25" hidden="1" outlineLevel="1">
      <c r="C46" s="5" t="s">
        <v>20</v>
      </c>
      <c r="E46" s="48">
        <f>IF('Hypothèses et paramètres'!$G$3=1,'Offres de références'!F20*Calculs!$F$8,IF('Hypothèses et paramètres'!$G$3=2,'Offres de références'!G20*Calculs!$F$8))</f>
        <v>47.61</v>
      </c>
      <c r="F46" s="47"/>
    </row>
    <row r="47" spans="3:6" s="28" customFormat="1" ht="11.25" collapsed="1">
      <c r="C47" s="28" t="s">
        <v>154</v>
      </c>
      <c r="D47" s="5" t="s">
        <v>137</v>
      </c>
      <c r="E47" s="54">
        <f>(IF('Hypothèses et paramètres'!G11=1,Calculs!E42,IF('Hypothèses et paramètres'!G11=2,Calculs!E43,IF('Hypothèses et paramètres'!G11=3,Calculs!E44,IF('Hypothèses et paramètres'!G11=4,Calculs!E45,IF('Hypothèses et paramètres'!G11=5,Calculs!E46))))))</f>
        <v>119.8</v>
      </c>
      <c r="F47" s="55">
        <f>E47/$F$3</f>
        <v>0.15973333333333334</v>
      </c>
    </row>
    <row r="48" spans="5:6" ht="11.25">
      <c r="E48" s="56"/>
      <c r="F48" s="47"/>
    </row>
    <row r="49" spans="2:4" ht="11.25">
      <c r="B49" s="8" t="s">
        <v>155</v>
      </c>
      <c r="D49" s="13"/>
    </row>
    <row r="50" spans="3:6" ht="11.25" hidden="1" outlineLevel="1">
      <c r="C50" s="5" t="s">
        <v>156</v>
      </c>
      <c r="D50" s="10"/>
      <c r="E50" s="48">
        <f>IF('Hypothèses et paramètres'!$G$3=1,'Offres de références'!F64+$F$4*'Offres de références'!F75,IF('Hypothèses et paramètres'!$G$3=2,'Offres de références'!G64+'Offres de références'!G75*Calculs!$F$4))</f>
        <v>866.4806445312503</v>
      </c>
      <c r="F50" s="57"/>
    </row>
    <row r="51" spans="3:6" ht="11.25" hidden="1" outlineLevel="1">
      <c r="C51" s="5" t="s">
        <v>157</v>
      </c>
      <c r="D51" s="14"/>
      <c r="E51" s="48">
        <f>IF('Hypothèses et paramètres'!$G$3=1,'Offres de références'!F65+$F$4*'Offres de références'!F76,IF('Hypothèses et paramètres'!$G$3=2,'Offres de références'!G65+'Offres de références'!G76*Calculs!$F$4))</f>
        <v>1488.251243574368</v>
      </c>
      <c r="F51" s="57"/>
    </row>
    <row r="52" spans="3:6" ht="11.25" hidden="1" outlineLevel="1">
      <c r="C52" s="5" t="s">
        <v>158</v>
      </c>
      <c r="D52" s="14"/>
      <c r="E52" s="48">
        <f>IF('Hypothèses et paramètres'!$G$3=1,'Offres de références'!F66+$F$4*'Offres de références'!F77,IF('Hypothèses et paramètres'!$G$3=2,'Offres de références'!G66+'Offres de références'!G77*Calculs!$F$4))</f>
        <v>1590.5582342476796</v>
      </c>
      <c r="F52" s="57"/>
    </row>
    <row r="53" spans="3:6" ht="11.25" hidden="1" outlineLevel="1">
      <c r="C53" s="5" t="s">
        <v>159</v>
      </c>
      <c r="D53" s="14"/>
      <c r="E53" s="48">
        <f>IF('Hypothèses et paramètres'!$G$3=1,'Offres de références'!F67+$F$4*'Offres de références'!F78,IF('Hypothèses et paramètres'!$G$3=2,'Offres de références'!G67+'Offres de références'!G78*Calculs!$F$4))</f>
        <v>1630.251658099157</v>
      </c>
      <c r="F53" s="57"/>
    </row>
    <row r="54" spans="3:6" ht="11.25" hidden="1" outlineLevel="1">
      <c r="C54" s="5" t="s">
        <v>160</v>
      </c>
      <c r="D54" s="14"/>
      <c r="E54" s="48">
        <f>IF('Hypothèses et paramètres'!$G$3=1,'Offres de références'!F68+$F$4*'Offres de références'!F79,IF('Hypothèses et paramètres'!$G$3=2,'Offres de références'!G68+'Offres de références'!G79*Calculs!$F$4))</f>
        <v>1590.5582342476796</v>
      </c>
      <c r="F54" s="57"/>
    </row>
    <row r="55" spans="3:6" ht="11.25" hidden="1" outlineLevel="1">
      <c r="C55" s="5" t="s">
        <v>161</v>
      </c>
      <c r="D55" s="14"/>
      <c r="E55" s="48">
        <f>IF('Hypothèses et paramètres'!$G$3=1,'Offres de références'!F69+$F$4*'Offres de références'!F80,IF('Hypothèses et paramètres'!$G$3=2,'Offres de références'!G69+'Offres de références'!G80*Calculs!$F$4))</f>
        <v>1693.0408495521121</v>
      </c>
      <c r="F55" s="57"/>
    </row>
    <row r="56" spans="3:6" ht="11.25" hidden="1" outlineLevel="1">
      <c r="C56" s="5" t="s">
        <v>162</v>
      </c>
      <c r="D56" s="14"/>
      <c r="E56" s="48">
        <f>IF('Hypothèses et paramètres'!$G$3=1,'Offres de références'!F70+$F$4*'Offres de références'!F81,IF('Hypothèses et paramètres'!$G$3=2,'Offres de références'!G70+'Offres de références'!G81*Calculs!$F$4))</f>
        <v>1745.5548714754239</v>
      </c>
      <c r="F56" s="57"/>
    </row>
    <row r="57" spans="3:6" ht="11.25" hidden="1" outlineLevel="1">
      <c r="C57" s="5" t="s">
        <v>163</v>
      </c>
      <c r="D57" s="14"/>
      <c r="E57" s="48">
        <f>IF('Hypothèses et paramètres'!$G$3=1,'Offres de références'!F71+$F$4*'Offres de références'!F82,IF('Hypothèses et paramètres'!$G$3=2,'Offres de références'!G71+'Offres de références'!G82*Calculs!$F$4))</f>
        <v>1630.251658099157</v>
      </c>
      <c r="F57" s="57"/>
    </row>
    <row r="58" spans="3:6" ht="11.25" hidden="1" outlineLevel="1">
      <c r="C58" s="5" t="s">
        <v>164</v>
      </c>
      <c r="D58" s="14"/>
      <c r="E58" s="48">
        <f>IF('Hypothèses et paramètres'!$G$3=1,'Offres de références'!F72+$F$4*'Offres de références'!F83,IF('Hypothèses et paramètres'!$G$3=2,'Offres de références'!G72+'Offres de références'!G83*Calculs!$F$4))</f>
        <v>1693.0408495521121</v>
      </c>
      <c r="F58" s="57"/>
    </row>
    <row r="59" spans="3:6" s="8" customFormat="1" ht="11.25" collapsed="1">
      <c r="C59" s="5" t="s">
        <v>165</v>
      </c>
      <c r="D59" s="5" t="s">
        <v>137</v>
      </c>
      <c r="E59" s="43">
        <f>IF('Hypothèses et paramètres'!G12=1,Calculs!E50,IF('Hypothèses et paramètres'!G12=2,Calculs!E51,IF('Hypothèses et paramètres'!G12=3,Calculs!E52,IF(OR('Hypothèses et paramètres'!G12=4,'Hypothèses et paramètres'!G12=8),Calculs!E53,IF('Hypothèses et paramètres'!G12=5,Calculs!E54,IF('Hypothèses et paramètres'!G12=6,Calculs!E55,IF('Hypothèses et paramètres'!G12=7,Calculs!E56,IF('Hypothèses et paramètres'!G12=9,Calculs!E58,))))))))</f>
        <v>1488.251243574368</v>
      </c>
      <c r="F59" s="46">
        <f>E59/$F$3</f>
        <v>1.9843349914324906</v>
      </c>
    </row>
    <row r="60" ht="11.25">
      <c r="F60" s="58"/>
    </row>
    <row r="61" spans="2:6" ht="11.25">
      <c r="B61" s="8" t="s">
        <v>76</v>
      </c>
      <c r="F61" s="58"/>
    </row>
    <row r="62" spans="3:6" ht="11.25">
      <c r="C62" s="10" t="s">
        <v>166</v>
      </c>
      <c r="D62" s="5" t="s">
        <v>137</v>
      </c>
      <c r="E62" s="43">
        <f>('Hypothèses et paramètres'!G44/((1-(1+'Hypothèses et paramètres'!G64)^(-'Hypothèses et paramètres'!G45))/'Hypothèses et paramètres'!G64)/(1+'Hypothèses et paramètres'!G64))/12/6*F8+'Hypothèses et paramètres'!G46/6/12*F8</f>
        <v>208.11203132546905</v>
      </c>
      <c r="F62" s="47">
        <f>E62/Calculs!$F$3</f>
        <v>0.2774827084339587</v>
      </c>
    </row>
    <row r="63" ht="11.25">
      <c r="F63" s="58"/>
    </row>
    <row r="64" spans="2:6" ht="11.25">
      <c r="B64" s="8" t="s">
        <v>167</v>
      </c>
      <c r="C64" s="23"/>
      <c r="D64" s="23"/>
      <c r="E64" s="27"/>
      <c r="F64" s="58"/>
    </row>
    <row r="65" spans="3:5" ht="11.25">
      <c r="C65" s="5" t="s">
        <v>168</v>
      </c>
      <c r="D65" s="10" t="s">
        <v>169</v>
      </c>
      <c r="E65" s="48">
        <f>'Hypothèses et paramètres'!G49*F3</f>
        <v>1500</v>
      </c>
    </row>
    <row r="66" spans="3:5" ht="11.25">
      <c r="C66" s="5" t="s">
        <v>170</v>
      </c>
      <c r="D66" s="5" t="s">
        <v>171</v>
      </c>
      <c r="E66" s="48">
        <f>(IF('Hypothèses et paramètres'!G13=2,IF('Hypothèses et paramètres'!G3=1,'Offres de références'!F24,'Offres de références'!G24),IF('Hypothèses et paramètres'!G3=1,'Offres de références'!F25,'Offres de références'!G25)))/12</f>
        <v>200.42999999999998</v>
      </c>
    </row>
    <row r="67" spans="3:6" ht="11.25">
      <c r="C67" s="8" t="s">
        <v>172</v>
      </c>
      <c r="D67" s="5" t="s">
        <v>137</v>
      </c>
      <c r="E67" s="43">
        <f>(E66*E65/1000)</f>
        <v>300.6449999999999</v>
      </c>
      <c r="F67" s="46">
        <f>E67/Calculs!$F$3</f>
        <v>0.4008599999999999</v>
      </c>
    </row>
    <row r="68" spans="3:6" ht="11.25">
      <c r="C68" s="32" t="s">
        <v>173</v>
      </c>
      <c r="D68" s="5" t="s">
        <v>137</v>
      </c>
      <c r="E68" s="43">
        <f>IF('Hypothèses et paramètres'!G13=2,IF('Hypothèses et paramètres'!G3=1,(E66-E66/2)+'Offres de références'!F26*'Hypothèses et paramètres'!G50/12,(E66-E66/2)+'Offres de références'!G26*'Hypothèses et paramètres'!G50/12),IF('Hypothèses et paramètres'!G3=1,(E66-E66/2)+'Offres de références'!F26*'Hypothèses et paramètres'!G50/12,(E66-E66/2)+'Offres de références'!G26*'Hypothèses et paramètres'!G50/12))</f>
        <v>141.88166666666666</v>
      </c>
      <c r="F68" s="46">
        <f>E68/Calculs!$F$3</f>
        <v>0.18917555555555554</v>
      </c>
    </row>
    <row r="69" spans="3:6" ht="11.25">
      <c r="C69" s="10" t="s">
        <v>174</v>
      </c>
      <c r="D69" s="5" t="s">
        <v>137</v>
      </c>
      <c r="E69" s="43">
        <f>E67+E68</f>
        <v>442.5266666666666</v>
      </c>
      <c r="F69" s="47">
        <f>E69/Calculs!$F$3</f>
        <v>0.5900355555555554</v>
      </c>
    </row>
    <row r="70" spans="3:6" ht="11.25">
      <c r="C70" s="10"/>
      <c r="E70" s="43"/>
      <c r="F70" s="46"/>
    </row>
    <row r="71" spans="2:6" ht="11.25">
      <c r="B71" s="8" t="s">
        <v>175</v>
      </c>
      <c r="D71" s="5" t="s">
        <v>137</v>
      </c>
      <c r="E71" s="41">
        <f>E59+E69+E47+E41+E40+E62</f>
        <v>2781.255636159772</v>
      </c>
      <c r="F71" s="46">
        <f>E71/Calculs!$F$3</f>
        <v>3.7083408482130293</v>
      </c>
    </row>
    <row r="72" ht="11.25">
      <c r="F72" s="58"/>
    </row>
    <row r="73" spans="2:6" ht="11.25">
      <c r="B73" s="2" t="s">
        <v>51</v>
      </c>
      <c r="C73" s="21"/>
      <c r="D73" s="4"/>
      <c r="E73" s="39" t="s">
        <v>134</v>
      </c>
      <c r="F73" s="39" t="s">
        <v>135</v>
      </c>
    </row>
    <row r="74" ht="11.25">
      <c r="B74" s="8" t="s">
        <v>176</v>
      </c>
    </row>
    <row r="75" spans="3:6" ht="11.25">
      <c r="C75" s="5" t="s">
        <v>153</v>
      </c>
      <c r="D75" s="5" t="s">
        <v>137</v>
      </c>
      <c r="E75" s="43">
        <f>IF('Hypothèses et paramètres'!G3=1,('Offres de références'!F94+'Offres de références'!F93)*F8,IF('Hypothèses et paramètres'!G3=2,('Offres de références'!G94+'Offres de références'!G93)*F8))/F16/12</f>
        <v>140.73117063799256</v>
      </c>
      <c r="F75" s="46">
        <f>E75/$F$3</f>
        <v>0.18764156085065675</v>
      </c>
    </row>
    <row r="76" spans="3:5" ht="11.25" hidden="1" outlineLevel="1">
      <c r="C76" s="5" t="s">
        <v>16</v>
      </c>
      <c r="E76" s="48">
        <f>IF('Hypothèses et paramètres'!$G$3=1,'Offres de références'!F95*Calculs!$F$8,IF('Hypothèses et paramètres'!$G$3=2,'Offres de références'!G95*Calculs!$F$8))</f>
        <v>419.4</v>
      </c>
    </row>
    <row r="77" spans="3:5" ht="11.25" hidden="1" outlineLevel="1">
      <c r="C77" s="5" t="s">
        <v>17</v>
      </c>
      <c r="E77" s="48">
        <f>IF('Hypothèses et paramètres'!$G$3=1,'Offres de références'!F96*Calculs!$F$8,IF('Hypothèses et paramètres'!$G$3=2,'Offres de références'!G96*Calculs!$F$8))</f>
        <v>370.41</v>
      </c>
    </row>
    <row r="78" spans="3:5" ht="11.25" hidden="1" outlineLevel="1">
      <c r="C78" s="5" t="s">
        <v>18</v>
      </c>
      <c r="E78" s="48">
        <f>IF('Hypothèses et paramètres'!$G$3=1,'Offres de références'!F97*Calculs!$F$8,IF('Hypothèses et paramètres'!$G$3=2,'Offres de références'!G97*Calculs!$F$8))</f>
        <v>358.98</v>
      </c>
    </row>
    <row r="79" spans="3:5" ht="11.25" hidden="1" outlineLevel="1">
      <c r="C79" s="5" t="s">
        <v>19</v>
      </c>
      <c r="E79" s="48">
        <f>IF('Hypothèses et paramètres'!$G$3=1,'Offres de références'!F98*Calculs!$F$8,IF('Hypothèses et paramètres'!$G$3=2,'Offres de références'!G98*Calculs!$F$8))</f>
        <v>343.26</v>
      </c>
    </row>
    <row r="80" spans="3:5" ht="11.25" hidden="1" outlineLevel="1">
      <c r="C80" s="5" t="s">
        <v>20</v>
      </c>
      <c r="E80" s="48">
        <f>IF('Hypothèses et paramètres'!$G$3=1,'Offres de références'!F99*Calculs!$F$8,IF('Hypothèses et paramètres'!$G$3=2,'Offres de références'!G99*Calculs!$F$8))</f>
        <v>343.26</v>
      </c>
    </row>
    <row r="81" spans="3:6" ht="11.25" collapsed="1">
      <c r="C81" s="28" t="s">
        <v>154</v>
      </c>
      <c r="D81" s="5" t="s">
        <v>137</v>
      </c>
      <c r="E81" s="43">
        <f>IF('Hypothèses et paramètres'!G11=1,Calculs!E76,IF('Hypothèses et paramètres'!G11=2,Calculs!E77,IF('Hypothèses et paramètres'!G11=3,Calculs!E78,IF('Hypothèses et paramètres'!G11=4,Calculs!E79,IF('Hypothèses et paramètres'!G11=5,Calculs!E80)))))</f>
        <v>419.4</v>
      </c>
      <c r="F81" s="46">
        <f>E81/$F$3</f>
        <v>0.5591999999999999</v>
      </c>
    </row>
    <row r="82" spans="5:6" ht="11.25">
      <c r="E82" s="43"/>
      <c r="F82" s="46"/>
    </row>
    <row r="83" spans="2:4" ht="11.25">
      <c r="B83" s="8" t="s">
        <v>177</v>
      </c>
      <c r="D83" s="13"/>
    </row>
    <row r="84" spans="3:6" ht="11.25" hidden="1" outlineLevel="1">
      <c r="C84" s="5" t="s">
        <v>156</v>
      </c>
      <c r="D84" s="10"/>
      <c r="E84" s="48">
        <f>IF('Hypothèses et paramètres'!$G$3=1,'Offres de références'!F148+$F$4*'Offres de références'!F159,IF('Hypothèses et paramètres'!$G$3=2,'Offres de références'!G148+'Offres de références'!G159*Calculs!$F$4))</f>
        <v>647.7235351562501</v>
      </c>
      <c r="F84" s="49">
        <f aca="true" t="shared" si="1" ref="F84:F91">E84/$F$3</f>
        <v>0.8636313802083335</v>
      </c>
    </row>
    <row r="85" spans="3:6" ht="11.25" hidden="1" outlineLevel="1">
      <c r="C85" s="5" t="s">
        <v>157</v>
      </c>
      <c r="D85" s="14"/>
      <c r="E85" s="48">
        <f>IF('Hypothèses et paramètres'!$G$3=1,'Offres de références'!F149+$F$4*'Offres de références'!F160,IF('Hypothèses et paramètres'!$G$3=2,'Offres de références'!G149+'Offres de références'!G160*Calculs!$F$4))</f>
        <v>1488.251243574368</v>
      </c>
      <c r="F85" s="49">
        <f t="shared" si="1"/>
        <v>1.9843349914324906</v>
      </c>
    </row>
    <row r="86" spans="3:6" ht="11.25" hidden="1" outlineLevel="1">
      <c r="C86" s="5" t="s">
        <v>158</v>
      </c>
      <c r="D86" s="14"/>
      <c r="E86" s="48">
        <f>IF('Hypothèses et paramètres'!$G$3=1,'Offres de références'!F150+$F$4*'Offres de références'!F161,IF('Hypothèses et paramètres'!$G$3=2,'Offres de références'!G150+'Offres de références'!G161*Calculs!$F$4))</f>
        <v>1590.5582342476796</v>
      </c>
      <c r="F86" s="49">
        <f t="shared" si="1"/>
        <v>2.1207443123302396</v>
      </c>
    </row>
    <row r="87" spans="3:6" ht="11.25" hidden="1" outlineLevel="1">
      <c r="C87" s="5" t="s">
        <v>159</v>
      </c>
      <c r="D87" s="14"/>
      <c r="E87" s="48">
        <f>IF('Hypothèses et paramètres'!$G$3=1,'Offres de références'!F151+$F$4*'Offres de références'!F162,IF('Hypothèses et paramètres'!$G$3=2,'Offres de références'!G151+'Offres de références'!G162*Calculs!$F$4))</f>
        <v>1630.251658099157</v>
      </c>
      <c r="F87" s="49">
        <f t="shared" si="1"/>
        <v>2.1736688774655426</v>
      </c>
    </row>
    <row r="88" spans="3:6" ht="11.25" hidden="1" outlineLevel="1">
      <c r="C88" s="5" t="s">
        <v>160</v>
      </c>
      <c r="D88" s="14"/>
      <c r="E88" s="48">
        <f>IF('Hypothèses et paramètres'!$G$3=1,'Offres de références'!F152+$F$4*'Offres de références'!F163,IF('Hypothèses et paramètres'!$G$3=2,'Offres de références'!G152+'Offres de références'!G163*Calculs!$F$4))</f>
        <v>1590.5582342476796</v>
      </c>
      <c r="F88" s="49">
        <f t="shared" si="1"/>
        <v>2.1207443123302396</v>
      </c>
    </row>
    <row r="89" spans="3:6" ht="11.25" hidden="1" outlineLevel="1">
      <c r="C89" s="5" t="s">
        <v>161</v>
      </c>
      <c r="D89" s="14"/>
      <c r="E89" s="48">
        <f>IF('Hypothèses et paramètres'!$G$3=1,'Offres de références'!F153+$F$4*'Offres de références'!F164,IF('Hypothèses et paramètres'!$G$3=2,'Offres de références'!G153+'Offres de références'!G164*Calculs!$F$4))</f>
        <v>1693.0408495521121</v>
      </c>
      <c r="F89" s="49">
        <f t="shared" si="1"/>
        <v>2.2573877994028164</v>
      </c>
    </row>
    <row r="90" spans="3:6" ht="11.25" hidden="1" outlineLevel="1">
      <c r="C90" s="5" t="s">
        <v>162</v>
      </c>
      <c r="D90" s="14"/>
      <c r="E90" s="48">
        <f>IF('Hypothèses et paramètres'!$G$3=1,'Offres de références'!F154+$F$4*'Offres de références'!F165,IF('Hypothèses et paramètres'!$G$3=2,'Offres de références'!G154+'Offres de références'!G165*Calculs!$F$4))</f>
        <v>1745.5548714754239</v>
      </c>
      <c r="F90" s="49">
        <f t="shared" si="1"/>
        <v>2.3274064953005653</v>
      </c>
    </row>
    <row r="91" spans="3:6" ht="11.25" hidden="1" outlineLevel="1">
      <c r="C91" s="5" t="s">
        <v>163</v>
      </c>
      <c r="D91" s="14"/>
      <c r="E91" s="48">
        <f>IF('Hypothèses et paramètres'!$G$3=1,'Offres de références'!F155+$F$4*'Offres de références'!F166,IF('Hypothèses et paramètres'!$G$3=2,'Offres de références'!G155+'Offres de références'!G166*Calculs!$F$4))</f>
        <v>1630.251658099157</v>
      </c>
      <c r="F91" s="49">
        <f t="shared" si="1"/>
        <v>2.1736688774655426</v>
      </c>
    </row>
    <row r="92" spans="3:6" ht="11.25" hidden="1" outlineLevel="1">
      <c r="C92" s="5" t="s">
        <v>164</v>
      </c>
      <c r="D92" s="14"/>
      <c r="E92" s="48">
        <f>IF('Hypothèses et paramètres'!$G$3=1,'Offres de références'!F156+$F$4*'Offres de références'!F167,IF('Hypothèses et paramètres'!$G$3=2,'Offres de références'!G156+'Offres de références'!G167*Calculs!$F$4))</f>
        <v>1693.0408495521121</v>
      </c>
      <c r="F92" s="49">
        <f>E92/$F$3</f>
        <v>2.2573877994028164</v>
      </c>
    </row>
    <row r="93" spans="3:6" s="8" customFormat="1" ht="11.25" collapsed="1">
      <c r="C93" s="5" t="s">
        <v>178</v>
      </c>
      <c r="D93" s="5" t="s">
        <v>137</v>
      </c>
      <c r="E93" s="43">
        <f>IF('Hypothèses et paramètres'!G12=1,Calculs!E84,IF('Hypothèses et paramètres'!G12=2,Calculs!E85,IF('Hypothèses et paramètres'!G12=3,Calculs!E86,IF(OR('Hypothèses et paramètres'!G12=4,'Hypothèses et paramètres'!G12=8),Calculs!E87,IF('Hypothèses et paramètres'!G12=5,Calculs!E88,IF('Hypothèses et paramètres'!G12=6,Calculs!E89,IF('Hypothèses et paramètres'!G12=7,Calculs!E90,IF('Hypothèses et paramètres'!G12=9,Calculs!E92,))))))))</f>
        <v>1488.251243574368</v>
      </c>
      <c r="F93" s="46">
        <f>E93/$F$3</f>
        <v>1.9843349914324906</v>
      </c>
    </row>
    <row r="94" ht="11.25">
      <c r="F94" s="50"/>
    </row>
    <row r="95" spans="2:6" ht="11.25">
      <c r="B95" s="8" t="s">
        <v>22</v>
      </c>
      <c r="C95" s="23"/>
      <c r="D95" s="23"/>
      <c r="E95" s="27"/>
      <c r="F95" s="50"/>
    </row>
    <row r="96" spans="3:6" ht="11.25">
      <c r="C96" s="5" t="s">
        <v>168</v>
      </c>
      <c r="D96" s="10" t="s">
        <v>169</v>
      </c>
      <c r="E96" s="48">
        <f>'Hypothèses et paramètres'!G49*F3</f>
        <v>1500</v>
      </c>
      <c r="F96" s="50"/>
    </row>
    <row r="97" spans="3:6" ht="11.25">
      <c r="C97" s="5" t="s">
        <v>179</v>
      </c>
      <c r="D97" s="5" t="s">
        <v>180</v>
      </c>
      <c r="E97" s="48">
        <f>IF('Hypothèses et paramètres'!G3=1,(IF('Hypothèses et paramètres'!G13=2,'Offres de références'!F102,'Offres de références'!F103))/12,IF('Hypothèses et paramètres'!G13=2,('Offres de références'!G106-'Offres de références'!G104)/2+'Offres de références'!G108,('Offres de références'!G107-'Offres de références'!G105)/2+'Offres de références'!G109))</f>
        <v>214.035</v>
      </c>
      <c r="F97" s="50"/>
    </row>
    <row r="98" spans="3:6" ht="11.25">
      <c r="C98" s="8" t="s">
        <v>181</v>
      </c>
      <c r="D98" s="5" t="s">
        <v>137</v>
      </c>
      <c r="E98" s="43">
        <f>E97*E96/1000</f>
        <v>321.0525</v>
      </c>
      <c r="F98" s="47">
        <f>E98/$F$3</f>
        <v>0.42807</v>
      </c>
    </row>
    <row r="99" spans="3:6" ht="11.25">
      <c r="C99" s="32" t="s">
        <v>173</v>
      </c>
      <c r="D99" s="5" t="s">
        <v>137</v>
      </c>
      <c r="E99" s="43">
        <f>IF('Hypothèses et paramètres'!G3=1,E97/2+'Offres de références'!F110*'Hypothèses et paramètres'!G50/12,E97/2+'Offres de références'!G110*'Hypothèses et paramètres'!G50/12)</f>
        <v>148.68416666666667</v>
      </c>
      <c r="F99" s="47">
        <f>E99/$F$3</f>
        <v>0.19824555555555556</v>
      </c>
    </row>
    <row r="100" spans="3:6" ht="11.25">
      <c r="C100" s="32" t="s">
        <v>174</v>
      </c>
      <c r="D100" s="5" t="s">
        <v>137</v>
      </c>
      <c r="E100" s="43">
        <f>E97*E96/1000+E99</f>
        <v>469.7366666666667</v>
      </c>
      <c r="F100" s="47">
        <f>E100/$F$3</f>
        <v>0.6263155555555556</v>
      </c>
    </row>
    <row r="101" spans="3:6" ht="11.25">
      <c r="C101" s="10"/>
      <c r="E101" s="48"/>
      <c r="F101" s="50"/>
    </row>
    <row r="102" spans="2:6" ht="11.25">
      <c r="B102" s="8" t="s">
        <v>182</v>
      </c>
      <c r="D102" s="5" t="s">
        <v>137</v>
      </c>
      <c r="E102" s="41">
        <f>E93+E100+E81+E75</f>
        <v>2518.119080879027</v>
      </c>
      <c r="F102" s="47">
        <f>E102/Calculs!$F$3</f>
        <v>3.3574921078387026</v>
      </c>
    </row>
    <row r="104" spans="2:6" ht="11.25">
      <c r="B104" s="2" t="s">
        <v>183</v>
      </c>
      <c r="C104" s="21"/>
      <c r="D104" s="21"/>
      <c r="E104" s="39" t="s">
        <v>134</v>
      </c>
      <c r="F104" s="39" t="s">
        <v>135</v>
      </c>
    </row>
    <row r="105" spans="3:6" ht="11.25">
      <c r="C105" s="5" t="s">
        <v>136</v>
      </c>
      <c r="D105" s="5" t="s">
        <v>137</v>
      </c>
      <c r="E105" s="43">
        <f>(IF('Hypothèses et paramètres'!G3=1,F11*'Offres de références'!F170/F16/12,IF('Hypothèses et paramètres'!G3=2,F11*'Offres de références'!G170/F16/12)))</f>
        <v>35.07697974924401</v>
      </c>
      <c r="F105" s="47">
        <f>E105/$F$3</f>
        <v>0.046769306332325344</v>
      </c>
    </row>
    <row r="106" spans="3:6" ht="11.25">
      <c r="C106" s="5" t="s">
        <v>184</v>
      </c>
      <c r="D106" s="5" t="s">
        <v>137</v>
      </c>
      <c r="E106" s="43">
        <f>(IF('Hypothèses et paramètres'!G3=1,F11*'Offres de références'!F171,IF('Hypothèses et paramètres'!G3=2,F11*'Offres de références'!G171)))</f>
        <v>177.495</v>
      </c>
      <c r="F106" s="47">
        <f>E106/$F$3</f>
        <v>0.23666</v>
      </c>
    </row>
    <row r="107" spans="3:6" ht="11.25">
      <c r="C107" s="5" t="s">
        <v>185</v>
      </c>
      <c r="D107" s="5" t="s">
        <v>137</v>
      </c>
      <c r="E107" s="43">
        <f>SUM(E105:E106)</f>
        <v>212.571979749244</v>
      </c>
      <c r="F107" s="46"/>
    </row>
    <row r="108" ht="11.25">
      <c r="E108" s="43"/>
    </row>
    <row r="109" spans="2:6" ht="11.25">
      <c r="B109" s="2" t="s">
        <v>186</v>
      </c>
      <c r="C109" s="21"/>
      <c r="D109" s="21"/>
      <c r="E109" s="39" t="s">
        <v>134</v>
      </c>
      <c r="F109" s="39" t="s">
        <v>135</v>
      </c>
    </row>
    <row r="110" spans="3:6" ht="11.25">
      <c r="C110" s="5" t="s">
        <v>187</v>
      </c>
      <c r="D110" s="5" t="s">
        <v>137</v>
      </c>
      <c r="E110" s="43">
        <f>IF('Hypothèses et paramètres'!F10=1,E107+E71+E35+E26,IF('Hypothèses et paramètres'!F10=2,E107+E102+E35+E26))</f>
        <v>8231.826381237237</v>
      </c>
      <c r="F110" s="47">
        <f>E110/$F$3</f>
        <v>10.975768508316316</v>
      </c>
    </row>
    <row r="111" ht="11.25">
      <c r="E111" s="43"/>
    </row>
    <row r="112" spans="2:6" s="1" customFormat="1" ht="12.75">
      <c r="B112" s="2" t="s">
        <v>188</v>
      </c>
      <c r="C112" s="3"/>
      <c r="D112" s="4"/>
      <c r="E112" s="39" t="s">
        <v>134</v>
      </c>
      <c r="F112" s="39" t="s">
        <v>135</v>
      </c>
    </row>
    <row r="113" spans="2:6" s="1" customFormat="1" ht="12.75">
      <c r="B113" s="5"/>
      <c r="C113" s="5" t="s">
        <v>189</v>
      </c>
      <c r="D113" s="5" t="s">
        <v>137</v>
      </c>
      <c r="E113" s="41">
        <f>(E110+E35*'Hypothèses et paramètres'!G68)*'Hypothèses et paramètres'!G69</f>
        <v>919.5375329725509</v>
      </c>
      <c r="F113" s="47">
        <f>E113/$F$3</f>
        <v>1.2260500439634012</v>
      </c>
    </row>
    <row r="114" spans="2:6" s="1" customFormat="1" ht="12.75">
      <c r="B114" s="5"/>
      <c r="C114" s="5" t="s">
        <v>190</v>
      </c>
      <c r="D114" s="5" t="s">
        <v>137</v>
      </c>
      <c r="E114" s="41">
        <f>(E35+E113)*'Hypothèses et paramètres'!G68</f>
        <v>189.21475140420458</v>
      </c>
      <c r="F114" s="47">
        <f>E114/$F$3</f>
        <v>0.2522863352056061</v>
      </c>
    </row>
    <row r="115" ht="11.25">
      <c r="E115" s="27"/>
    </row>
    <row r="116" spans="2:6" ht="11.25">
      <c r="B116" s="2" t="s">
        <v>191</v>
      </c>
      <c r="C116" s="21"/>
      <c r="D116" s="21"/>
      <c r="E116" s="39" t="s">
        <v>134</v>
      </c>
      <c r="F116" s="39" t="s">
        <v>135</v>
      </c>
    </row>
    <row r="117" spans="3:6" ht="11.25">
      <c r="C117" s="5" t="s">
        <v>187</v>
      </c>
      <c r="D117" s="5" t="s">
        <v>137</v>
      </c>
      <c r="E117" s="43">
        <f>E110+E114+E113</f>
        <v>9340.578665613992</v>
      </c>
      <c r="F117" s="47">
        <f>E117/$F$3</f>
        <v>12.454104887485322</v>
      </c>
    </row>
  </sheetData>
  <printOptions/>
  <pageMargins left="0.75" right="0.75" top="0.73" bottom="0.63" header="0.4921259845" footer="0.49212598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00390625" style="5" customWidth="1"/>
    <col min="2" max="2" width="4.57421875" style="5" customWidth="1"/>
    <col min="3" max="5" width="11.421875" style="5" customWidth="1"/>
    <col min="6" max="6" width="32.421875" style="5" customWidth="1"/>
    <col min="7" max="7" width="16.7109375" style="5" customWidth="1"/>
    <col min="8" max="8" width="15.7109375" style="5" customWidth="1"/>
    <col min="9" max="16384" width="11.421875" style="5" customWidth="1"/>
  </cols>
  <sheetData>
    <row r="1" ht="4.5" customHeight="1"/>
    <row r="2" spans="2:8" s="1" customFormat="1" ht="12.75">
      <c r="B2" s="2" t="s">
        <v>192</v>
      </c>
      <c r="C2" s="3"/>
      <c r="D2" s="3"/>
      <c r="E2" s="3"/>
      <c r="F2" s="59"/>
      <c r="G2" s="59"/>
      <c r="H2" s="59"/>
    </row>
    <row r="3" spans="3:11" s="1" customFormat="1" ht="12.75">
      <c r="C3" s="52" t="s">
        <v>69</v>
      </c>
      <c r="D3" s="60"/>
      <c r="E3" s="60"/>
      <c r="F3" s="60"/>
      <c r="G3" s="60"/>
      <c r="H3" s="61" t="str">
        <f>IF('Hypothèses et paramètres'!G3=1,"Juin 02","Mars 05")</f>
        <v>Mars 05</v>
      </c>
      <c r="K3" s="62"/>
    </row>
    <row r="4" spans="3:11" s="1" customFormat="1" ht="12.75">
      <c r="C4" s="52" t="s">
        <v>70</v>
      </c>
      <c r="D4" s="60"/>
      <c r="E4" s="60"/>
      <c r="F4" s="60"/>
      <c r="G4" s="60"/>
      <c r="H4" s="61" t="str">
        <f>IF('Hypothèses et paramètres'!G6=2,"Partiel","Total")</f>
        <v>Partiel</v>
      </c>
      <c r="K4" s="62"/>
    </row>
    <row r="5" spans="3:11" s="1" customFormat="1" ht="6" customHeight="1">
      <c r="C5" s="52"/>
      <c r="D5" s="60"/>
      <c r="E5" s="60"/>
      <c r="F5" s="60"/>
      <c r="G5" s="60"/>
      <c r="H5" s="61"/>
      <c r="K5" s="62"/>
    </row>
    <row r="6" spans="2:8" s="1" customFormat="1" ht="12.75">
      <c r="B6" s="5"/>
      <c r="C6" s="52" t="s">
        <v>193</v>
      </c>
      <c r="D6" s="60"/>
      <c r="E6" s="60"/>
      <c r="F6" s="60"/>
      <c r="G6" s="60"/>
      <c r="H6" s="63">
        <f>'Hypothèses et paramètres'!G9</f>
        <v>20000</v>
      </c>
    </row>
    <row r="7" spans="2:8" s="1" customFormat="1" ht="12.75">
      <c r="B7" s="5"/>
      <c r="C7" s="52" t="s">
        <v>73</v>
      </c>
      <c r="D7" s="60"/>
      <c r="E7" s="60"/>
      <c r="F7" s="60"/>
      <c r="G7" s="60"/>
      <c r="H7" s="61" t="str">
        <f>IF('Hypothèses et paramètres'!F10=1,"Salle","Espace")</f>
        <v>Espace</v>
      </c>
    </row>
    <row r="8" spans="2:8" s="1" customFormat="1" ht="12.75">
      <c r="B8" s="5"/>
      <c r="C8" s="52" t="s">
        <v>74</v>
      </c>
      <c r="D8" s="60"/>
      <c r="E8" s="60"/>
      <c r="F8" s="60"/>
      <c r="G8" s="60"/>
      <c r="H8" s="64">
        <f>'Hypothèses et paramètres'!G11</f>
        <v>1</v>
      </c>
    </row>
    <row r="9" spans="3:8" s="1" customFormat="1" ht="12.75">
      <c r="C9" s="52" t="s">
        <v>75</v>
      </c>
      <c r="D9" s="60"/>
      <c r="E9" s="60"/>
      <c r="F9" s="60"/>
      <c r="G9" s="60"/>
      <c r="H9" s="61">
        <f>'Hypothèses et paramètres'!G12</f>
        <v>2</v>
      </c>
    </row>
    <row r="10" spans="3:8" s="1" customFormat="1" ht="12.75">
      <c r="C10" s="52" t="s">
        <v>76</v>
      </c>
      <c r="D10" s="60"/>
      <c r="E10" s="60"/>
      <c r="F10" s="60"/>
      <c r="G10" s="60"/>
      <c r="H10" s="61" t="str">
        <f>IF('Hypothèses et paramètres'!G13=1,"Oui","Non")</f>
        <v>Non</v>
      </c>
    </row>
    <row r="11" spans="3:8" s="1" customFormat="1" ht="3.75" customHeight="1">
      <c r="C11" s="52"/>
      <c r="D11" s="60"/>
      <c r="E11" s="60"/>
      <c r="F11" s="60"/>
      <c r="G11" s="60"/>
      <c r="H11" s="61"/>
    </row>
    <row r="12" spans="3:8" s="1" customFormat="1" ht="12.75">
      <c r="C12" s="52" t="s">
        <v>78</v>
      </c>
      <c r="D12" s="60"/>
      <c r="E12" s="60"/>
      <c r="F12" s="60"/>
      <c r="G12" s="60"/>
      <c r="H12" s="65">
        <f>'Hypothèses et paramètres'!G16</f>
        <v>0.25</v>
      </c>
    </row>
    <row r="13" spans="3:8" s="1" customFormat="1" ht="12.75">
      <c r="C13" s="52" t="s">
        <v>194</v>
      </c>
      <c r="D13" s="60"/>
      <c r="E13" s="60"/>
      <c r="F13" s="60"/>
      <c r="G13" s="60"/>
      <c r="H13" s="65">
        <f>'Hypothèses et paramètres'!G17</f>
        <v>0.15</v>
      </c>
    </row>
    <row r="14" spans="3:8" s="1" customFormat="1" ht="4.5" customHeight="1">
      <c r="C14" s="5"/>
      <c r="G14" s="40"/>
      <c r="H14" s="40"/>
    </row>
    <row r="15" spans="2:8" ht="11.25">
      <c r="B15" s="2" t="s">
        <v>195</v>
      </c>
      <c r="C15" s="21"/>
      <c r="D15" s="21"/>
      <c r="E15" s="21"/>
      <c r="F15" s="21"/>
      <c r="G15" s="2" t="s">
        <v>134</v>
      </c>
      <c r="H15" s="2" t="s">
        <v>135</v>
      </c>
    </row>
    <row r="16" spans="3:9" ht="12.75">
      <c r="C16" s="5" t="s">
        <v>196</v>
      </c>
      <c r="D16" s="1"/>
      <c r="E16" s="1"/>
      <c r="F16" s="1"/>
      <c r="G16" s="32">
        <f>Calculs!E35</f>
        <v>1904.563234254383</v>
      </c>
      <c r="H16" s="66">
        <f>Calculs!F35</f>
        <v>2.5394176456725104</v>
      </c>
      <c r="I16" s="67"/>
    </row>
    <row r="17" spans="3:9" ht="12.75">
      <c r="C17" s="5" t="s">
        <v>197</v>
      </c>
      <c r="D17" s="1"/>
      <c r="E17" s="1"/>
      <c r="F17" s="1"/>
      <c r="G17" s="32">
        <f>IF('Hypothèses et paramètres'!F10=1,Calculs!E62,0)</f>
        <v>0</v>
      </c>
      <c r="H17" s="66">
        <f>G17/Calculs!F3</f>
        <v>0</v>
      </c>
      <c r="I17" s="67"/>
    </row>
    <row r="18" spans="2:8" ht="4.5" customHeight="1">
      <c r="B18" s="23"/>
      <c r="C18" s="19"/>
      <c r="D18" s="19"/>
      <c r="E18" s="19"/>
      <c r="F18" s="19"/>
      <c r="G18" s="23"/>
      <c r="H18" s="23"/>
    </row>
    <row r="19" spans="2:9" ht="11.25">
      <c r="B19" s="2" t="s">
        <v>198</v>
      </c>
      <c r="C19" s="21"/>
      <c r="D19" s="21"/>
      <c r="E19" s="21"/>
      <c r="F19" s="21"/>
      <c r="G19" s="2" t="s">
        <v>134</v>
      </c>
      <c r="H19" s="2" t="s">
        <v>135</v>
      </c>
      <c r="I19" s="67"/>
    </row>
    <row r="20" spans="3:11" ht="12.75">
      <c r="C20" s="68" t="s">
        <v>199</v>
      </c>
      <c r="D20" s="69"/>
      <c r="E20" s="69"/>
      <c r="F20" s="70"/>
      <c r="G20" s="70"/>
      <c r="H20" s="71"/>
      <c r="I20" s="67"/>
      <c r="J20" s="40"/>
      <c r="K20" s="40"/>
    </row>
    <row r="21" spans="3:11" ht="12.75">
      <c r="C21" s="5" t="s">
        <v>200</v>
      </c>
      <c r="D21" s="1"/>
      <c r="E21" s="1"/>
      <c r="G21" s="32">
        <f>IF('Hypothèses et paramètres'!F10=1,Calculs!E40+Calculs!E41,Calculs!E75)</f>
        <v>140.73117063799256</v>
      </c>
      <c r="H21" s="66">
        <f>G21/Calculs!$F$3</f>
        <v>0.18764156085065675</v>
      </c>
      <c r="I21" s="67"/>
      <c r="J21" s="72"/>
      <c r="K21" s="72"/>
    </row>
    <row r="22" spans="3:11" ht="12.75">
      <c r="C22" s="5" t="s">
        <v>201</v>
      </c>
      <c r="D22" s="1"/>
      <c r="E22" s="1"/>
      <c r="G22" s="32">
        <f>IF('Hypothèses et paramètres'!F10=1,Calculs!E68+Calculs!E105,Calculs!E99+Calculs!E105)</f>
        <v>183.76114641591067</v>
      </c>
      <c r="H22" s="66">
        <f>G22/Calculs!$F$3</f>
        <v>0.2450148618878809</v>
      </c>
      <c r="I22" s="67"/>
      <c r="J22" s="16"/>
      <c r="K22" s="16"/>
    </row>
    <row r="23" spans="2:8" ht="4.5" customHeight="1">
      <c r="B23" s="23"/>
      <c r="C23" s="19"/>
      <c r="D23" s="19"/>
      <c r="E23" s="19"/>
      <c r="F23" s="19"/>
      <c r="G23" s="23"/>
      <c r="H23" s="23"/>
    </row>
    <row r="24" spans="3:9" ht="12.75">
      <c r="C24" s="68" t="s">
        <v>202</v>
      </c>
      <c r="D24" s="69"/>
      <c r="E24" s="69"/>
      <c r="F24" s="70"/>
      <c r="G24" s="70"/>
      <c r="H24" s="73"/>
      <c r="I24" s="67"/>
    </row>
    <row r="25" spans="3:10" ht="11.25">
      <c r="C25" s="5" t="s">
        <v>203</v>
      </c>
      <c r="G25" s="32">
        <f>Calculs!E19+Calculs!E20+Calculs!E24</f>
        <v>1421.5720863545837</v>
      </c>
      <c r="H25" s="66">
        <f>G25/Calculs!$F$3</f>
        <v>1.8954294484727783</v>
      </c>
      <c r="I25" s="67"/>
      <c r="J25" s="32"/>
    </row>
    <row r="26" spans="2:8" ht="4.5" customHeight="1">
      <c r="B26" s="23"/>
      <c r="C26" s="19"/>
      <c r="D26" s="19"/>
      <c r="E26" s="19"/>
      <c r="F26" s="19"/>
      <c r="G26" s="23"/>
      <c r="H26" s="23"/>
    </row>
    <row r="27" spans="2:9" ht="11.25">
      <c r="B27" s="2" t="s">
        <v>204</v>
      </c>
      <c r="C27" s="21"/>
      <c r="D27" s="21"/>
      <c r="E27" s="21"/>
      <c r="F27" s="21"/>
      <c r="G27" s="2" t="s">
        <v>134</v>
      </c>
      <c r="H27" s="2" t="s">
        <v>135</v>
      </c>
      <c r="I27" s="67"/>
    </row>
    <row r="28" spans="3:10" ht="11.25">
      <c r="C28" s="68" t="s">
        <v>199</v>
      </c>
      <c r="D28" s="70"/>
      <c r="E28" s="70"/>
      <c r="F28" s="70"/>
      <c r="G28" s="74"/>
      <c r="H28" s="75"/>
      <c r="I28" s="67"/>
      <c r="J28" s="32"/>
    </row>
    <row r="29" spans="3:10" ht="11.25">
      <c r="C29" s="5" t="s">
        <v>205</v>
      </c>
      <c r="G29" s="32">
        <f>IF('Hypothèses et paramètres'!F10=1,Calculs!E47,Calculs!E81)</f>
        <v>419.4</v>
      </c>
      <c r="H29" s="66">
        <f>G29/Calculs!$F$3</f>
        <v>0.5591999999999999</v>
      </c>
      <c r="I29" s="67"/>
      <c r="J29" s="32"/>
    </row>
    <row r="30" spans="3:10" ht="11.25">
      <c r="C30" s="5" t="s">
        <v>206</v>
      </c>
      <c r="G30" s="32">
        <f>IF('Hypothèses et paramètres'!F10=1,Calculs!E59+Calculs!E67+Calculs!E106,Calculs!E93+Calculs!E98+Calculs!E106)</f>
        <v>1986.798743574368</v>
      </c>
      <c r="H30" s="66">
        <f>G30/Calculs!$F$3</f>
        <v>2.649064991432491</v>
      </c>
      <c r="I30" s="67"/>
      <c r="J30" s="32"/>
    </row>
    <row r="31" spans="2:8" ht="4.5" customHeight="1">
      <c r="B31" s="23"/>
      <c r="C31" s="19"/>
      <c r="D31" s="19"/>
      <c r="E31" s="19"/>
      <c r="F31" s="19"/>
      <c r="G31" s="23"/>
      <c r="H31" s="23"/>
    </row>
    <row r="32" spans="3:9" ht="11.25">
      <c r="C32" s="68" t="s">
        <v>202</v>
      </c>
      <c r="D32" s="70"/>
      <c r="E32" s="70"/>
      <c r="F32" s="70"/>
      <c r="G32" s="74"/>
      <c r="H32" s="75"/>
      <c r="I32" s="67"/>
    </row>
    <row r="33" spans="3:10" ht="11.25">
      <c r="C33" s="5" t="str">
        <f>IF('Hypothèses et paramètres'!G6=2,"Accès Partagé (location ligne + filtre)","Accès total (location ligne)")</f>
        <v>Accès Partagé (location ligne + filtre)</v>
      </c>
      <c r="G33" s="32">
        <f>IF('Hypothèses et paramètres'!G6=2,Calculs!E21+Calculs!E22,Calculs!E23)</f>
        <v>2175</v>
      </c>
      <c r="H33" s="66">
        <f>G33/Calculs!$F$3</f>
        <v>2.9</v>
      </c>
      <c r="I33" s="67"/>
      <c r="J33" s="32"/>
    </row>
    <row r="34" spans="2:8" ht="4.5" customHeight="1">
      <c r="B34" s="23"/>
      <c r="C34" s="19"/>
      <c r="D34" s="19"/>
      <c r="E34" s="19"/>
      <c r="F34" s="19"/>
      <c r="G34" s="23"/>
      <c r="H34" s="23"/>
    </row>
    <row r="35" spans="2:9" ht="11.25">
      <c r="B35" s="2" t="s">
        <v>116</v>
      </c>
      <c r="C35" s="21"/>
      <c r="D35" s="21"/>
      <c r="E35" s="21"/>
      <c r="F35" s="21"/>
      <c r="G35" s="2" t="s">
        <v>134</v>
      </c>
      <c r="H35" s="76" t="s">
        <v>135</v>
      </c>
      <c r="I35" s="67"/>
    </row>
    <row r="36" spans="2:8" ht="4.5" customHeight="1" thickBot="1">
      <c r="B36" s="23"/>
      <c r="C36" s="19"/>
      <c r="D36" s="19"/>
      <c r="E36" s="19"/>
      <c r="F36" s="19"/>
      <c r="G36" s="23"/>
      <c r="H36" s="23"/>
    </row>
    <row r="37" spans="2:9" ht="12" thickBot="1">
      <c r="B37" s="77" t="s">
        <v>207</v>
      </c>
      <c r="C37" s="78"/>
      <c r="D37" s="78"/>
      <c r="E37" s="78"/>
      <c r="F37" s="78"/>
      <c r="G37" s="79">
        <f>SUM(G16:G33)</f>
        <v>8231.826381237239</v>
      </c>
      <c r="H37" s="80">
        <f>G37/Calculs!F3</f>
        <v>10.97576850831632</v>
      </c>
      <c r="I37" s="67"/>
    </row>
    <row r="38" spans="2:8" ht="4.5" customHeight="1">
      <c r="B38" s="23"/>
      <c r="C38" s="19"/>
      <c r="D38" s="19"/>
      <c r="E38" s="19"/>
      <c r="F38" s="19"/>
      <c r="G38" s="23"/>
      <c r="H38" s="23"/>
    </row>
    <row r="39" spans="3:9" ht="11.25">
      <c r="C39" s="5" t="s">
        <v>208</v>
      </c>
      <c r="G39" s="32">
        <f>Calculs!E114+Calculs!E113</f>
        <v>1108.7522843767556</v>
      </c>
      <c r="H39" s="66">
        <f>G39/Calculs!$F$3</f>
        <v>1.4783363791690074</v>
      </c>
      <c r="I39" s="67"/>
    </row>
    <row r="40" spans="2:8" ht="4.5" customHeight="1" thickBot="1">
      <c r="B40" s="23"/>
      <c r="C40" s="19"/>
      <c r="D40" s="19"/>
      <c r="E40" s="19"/>
      <c r="F40" s="19"/>
      <c r="G40" s="23"/>
      <c r="H40" s="23"/>
    </row>
    <row r="41" spans="2:9" ht="12" thickBot="1">
      <c r="B41" s="77" t="s">
        <v>209</v>
      </c>
      <c r="C41" s="78"/>
      <c r="D41" s="78"/>
      <c r="E41" s="78"/>
      <c r="F41" s="78"/>
      <c r="G41" s="79">
        <f>G39+G37</f>
        <v>9340.578665613994</v>
      </c>
      <c r="H41" s="80">
        <f>H37+H39</f>
        <v>12.454104887485327</v>
      </c>
      <c r="I41" s="67"/>
    </row>
    <row r="42" spans="7:8" ht="11.25">
      <c r="G42" s="16"/>
      <c r="H42" s="81"/>
    </row>
    <row r="43" ht="11.25">
      <c r="H43" s="7"/>
    </row>
    <row r="44" ht="11.25">
      <c r="G44" s="16"/>
    </row>
    <row r="45" ht="11.25">
      <c r="G45" s="16"/>
    </row>
  </sheetData>
  <printOptions/>
  <pageMargins left="0.43" right="0.42" top="1" bottom="1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République Française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MOLL</dc:creator>
  <cp:keywords/>
  <dc:description/>
  <cp:lastModifiedBy>Cecile GAUBERT</cp:lastModifiedBy>
  <cp:lastPrinted>2005-03-24T12:06:35Z</cp:lastPrinted>
  <dcterms:created xsi:type="dcterms:W3CDTF">2005-03-24T11:22:15Z</dcterms:created>
  <dcterms:modified xsi:type="dcterms:W3CDTF">2005-03-24T13:14:21Z</dcterms:modified>
  <cp:category/>
  <cp:version/>
  <cp:contentType/>
  <cp:contentStatus/>
</cp:coreProperties>
</file>